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002 - RM\2024\RM 25 - 10-12-2024\2024-25-409 - JCH - Komunikace K Lávce-ZL a Dod. č.1\"/>
    </mc:Choice>
  </mc:AlternateContent>
  <xr:revisionPtr revIDLastSave="0" documentId="8_{9E336654-ECD3-4C3B-B6E6-F5197847DFCA}" xr6:coauthVersionLast="47" xr6:coauthVersionMax="47" xr10:uidLastSave="{00000000-0000-0000-0000-000000000000}"/>
  <bookViews>
    <workbookView xWindow="0" yWindow="600" windowWidth="28800" windowHeight="15600" xr2:uid="{9238176A-11D0-45AA-BD89-FB6A3702F034}"/>
  </bookViews>
  <sheets>
    <sheet name="List1" sheetId="1" r:id="rId1"/>
  </sheets>
  <definedNames>
    <definedName name="_xlnm._FilterDatabase" localSheetId="0" hidden="1">List1!$A$1:$Q$308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5" i="1" l="1"/>
  <c r="L296" i="1"/>
  <c r="M293" i="1"/>
  <c r="M91" i="1"/>
  <c r="M140" i="1"/>
  <c r="L140" i="1" s="1"/>
  <c r="L163" i="1"/>
  <c r="L166" i="1"/>
  <c r="L179" i="1"/>
  <c r="L185" i="1"/>
  <c r="L81" i="1"/>
  <c r="L79" i="1"/>
  <c r="L77" i="1"/>
  <c r="L53" i="1"/>
  <c r="L51" i="1"/>
  <c r="L18" i="1"/>
  <c r="L16" i="1"/>
  <c r="L274" i="1" l="1"/>
  <c r="L93" i="1" l="1"/>
  <c r="M164" i="1" l="1"/>
  <c r="N308" i="1"/>
  <c r="N307" i="1"/>
  <c r="N305" i="1"/>
  <c r="N304" i="1"/>
  <c r="N299" i="1"/>
  <c r="N293" i="1"/>
  <c r="N284" i="1"/>
  <c r="N280" i="1"/>
  <c r="N276" i="1"/>
  <c r="N275" i="1"/>
  <c r="N272" i="1"/>
  <c r="N271" i="1"/>
  <c r="N252" i="1"/>
  <c r="N246" i="1"/>
  <c r="N242" i="1"/>
  <c r="N240" i="1"/>
  <c r="N238" i="1"/>
  <c r="N236" i="1"/>
  <c r="N234" i="1"/>
  <c r="N232" i="1"/>
  <c r="N228" i="1"/>
  <c r="N227" i="1"/>
  <c r="N225" i="1"/>
  <c r="N223" i="1"/>
  <c r="N221" i="1"/>
  <c r="N219" i="1"/>
  <c r="N215" i="1"/>
  <c r="N211" i="1"/>
  <c r="N201" i="1"/>
  <c r="N193" i="1"/>
  <c r="N191" i="1"/>
  <c r="N190" i="1"/>
  <c r="N187" i="1"/>
  <c r="N185" i="1"/>
  <c r="N183" i="1"/>
  <c r="N181" i="1"/>
  <c r="N179" i="1"/>
  <c r="N175" i="1"/>
  <c r="N173" i="1"/>
  <c r="N168" i="1"/>
  <c r="N166" i="1"/>
  <c r="N164" i="1"/>
  <c r="N163" i="1"/>
  <c r="N160" i="1"/>
  <c r="N153" i="1"/>
  <c r="N146" i="1"/>
  <c r="N143" i="1"/>
  <c r="N140" i="1"/>
  <c r="N124" i="1"/>
  <c r="N108" i="1"/>
  <c r="N106" i="1"/>
  <c r="N104" i="1"/>
  <c r="N88" i="1"/>
  <c r="N86" i="1"/>
  <c r="N84" i="1"/>
  <c r="N81" i="1"/>
  <c r="N79" i="1"/>
  <c r="N77" i="1"/>
  <c r="N75" i="1"/>
  <c r="N73" i="1"/>
  <c r="N71" i="1"/>
  <c r="N69" i="1"/>
  <c r="N67" i="1"/>
  <c r="N65" i="1"/>
  <c r="N59" i="1"/>
  <c r="N55" i="1"/>
  <c r="N53" i="1"/>
  <c r="N52" i="1"/>
  <c r="N51" i="1"/>
  <c r="N49" i="1"/>
  <c r="N35" i="1"/>
  <c r="N31" i="1"/>
  <c r="N29" i="1"/>
  <c r="N25" i="1"/>
  <c r="N23" i="1"/>
  <c r="N21" i="1"/>
  <c r="N19" i="1"/>
  <c r="N18" i="1"/>
  <c r="N16" i="1"/>
  <c r="M252" i="1" l="1"/>
  <c r="M234" i="1"/>
  <c r="M59" i="1"/>
  <c r="M215" i="1"/>
  <c r="M225" i="1"/>
  <c r="M227" i="1"/>
  <c r="M232" i="1"/>
  <c r="M236" i="1"/>
  <c r="M238" i="1"/>
  <c r="M240" i="1"/>
  <c r="M242" i="1"/>
  <c r="M246" i="1"/>
  <c r="Q308" i="1"/>
  <c r="Q307" i="1"/>
  <c r="Q305" i="1"/>
  <c r="Q304" i="1"/>
  <c r="Q299" i="1"/>
  <c r="Q293" i="1"/>
  <c r="Q284" i="1"/>
  <c r="Q280" i="1"/>
  <c r="Q276" i="1"/>
  <c r="Q275" i="1"/>
  <c r="Q272" i="1"/>
  <c r="Q271" i="1"/>
  <c r="Q252" i="1"/>
  <c r="Q246" i="1"/>
  <c r="Q242" i="1"/>
  <c r="Q240" i="1"/>
  <c r="Q238" i="1"/>
  <c r="Q236" i="1"/>
  <c r="Q234" i="1"/>
  <c r="Q232" i="1"/>
  <c r="Q228" i="1"/>
  <c r="Q227" i="1"/>
  <c r="Q225" i="1"/>
  <c r="Q223" i="1"/>
  <c r="Q221" i="1"/>
  <c r="Q219" i="1"/>
  <c r="Q215" i="1"/>
  <c r="Q211" i="1"/>
  <c r="Q201" i="1"/>
  <c r="Q193" i="1"/>
  <c r="Q191" i="1"/>
  <c r="Q190" i="1"/>
  <c r="Q187" i="1"/>
  <c r="Q185" i="1"/>
  <c r="Q183" i="1"/>
  <c r="Q181" i="1"/>
  <c r="Q179" i="1"/>
  <c r="Q175" i="1"/>
  <c r="Q173" i="1"/>
  <c r="Q168" i="1"/>
  <c r="Q166" i="1"/>
  <c r="Q164" i="1"/>
  <c r="Q163" i="1"/>
  <c r="Q160" i="1"/>
  <c r="Q153" i="1"/>
  <c r="Q146" i="1"/>
  <c r="Q143" i="1"/>
  <c r="Q124" i="1"/>
  <c r="Q108" i="1"/>
  <c r="Q106" i="1"/>
  <c r="Q104" i="1"/>
  <c r="Q88" i="1"/>
  <c r="Q86" i="1"/>
  <c r="Q84" i="1"/>
  <c r="Q81" i="1"/>
  <c r="Q79" i="1"/>
  <c r="Q77" i="1"/>
  <c r="Q75" i="1"/>
  <c r="Q73" i="1"/>
  <c r="Q71" i="1"/>
  <c r="Q69" i="1"/>
  <c r="Q67" i="1"/>
  <c r="Q65" i="1"/>
  <c r="Q59" i="1"/>
  <c r="Q55" i="1"/>
  <c r="Q53" i="1"/>
  <c r="Q52" i="1"/>
  <c r="Q51" i="1"/>
  <c r="Q49" i="1"/>
  <c r="Q35" i="1"/>
  <c r="Q31" i="1"/>
  <c r="Q29" i="1"/>
  <c r="Q25" i="1"/>
  <c r="Q23" i="1"/>
  <c r="Q21" i="1"/>
  <c r="Q19" i="1"/>
  <c r="Q18" i="1"/>
  <c r="Q16" i="1"/>
  <c r="Q14" i="1"/>
  <c r="L273" i="1"/>
  <c r="N273" i="1" s="1"/>
  <c r="M272" i="1"/>
  <c r="L295" i="1"/>
  <c r="N295" i="1" s="1"/>
  <c r="M304" i="1"/>
  <c r="M308" i="1"/>
  <c r="M307" i="1"/>
  <c r="L303" i="1"/>
  <c r="L302" i="1" s="1"/>
  <c r="N302" i="1" s="1"/>
  <c r="L301" i="1"/>
  <c r="L300" i="1" s="1"/>
  <c r="N300" i="1" s="1"/>
  <c r="M299" i="1"/>
  <c r="M305" i="1"/>
  <c r="L292" i="1"/>
  <c r="L291" i="1" s="1"/>
  <c r="N291" i="1" s="1"/>
  <c r="L287" i="1"/>
  <c r="N287" i="1" s="1"/>
  <c r="L286" i="1"/>
  <c r="L285" i="1" s="1"/>
  <c r="N285" i="1" s="1"/>
  <c r="Q291" i="1" l="1"/>
  <c r="L297" i="1"/>
  <c r="N297" i="1" s="1"/>
  <c r="L290" i="1"/>
  <c r="L289" i="1" s="1"/>
  <c r="N289" i="1" s="1"/>
  <c r="M300" i="1"/>
  <c r="Q302" i="1"/>
  <c r="M287" i="1"/>
  <c r="Q273" i="1"/>
  <c r="Q285" i="1"/>
  <c r="Q300" i="1"/>
  <c r="Q287" i="1"/>
  <c r="Q295" i="1"/>
  <c r="M273" i="1"/>
  <c r="M295" i="1"/>
  <c r="M302" i="1"/>
  <c r="M291" i="1"/>
  <c r="M285" i="1"/>
  <c r="L277" i="1"/>
  <c r="N277" i="1" s="1"/>
  <c r="M276" i="1"/>
  <c r="M275" i="1"/>
  <c r="M284" i="1"/>
  <c r="L283" i="1"/>
  <c r="L282" i="1" s="1"/>
  <c r="N282" i="1" s="1"/>
  <c r="L281" i="1"/>
  <c r="N281" i="1" s="1"/>
  <c r="M280" i="1"/>
  <c r="M271" i="1"/>
  <c r="L269" i="1"/>
  <c r="N269" i="1" s="1"/>
  <c r="L260" i="1"/>
  <c r="L259" i="1" s="1"/>
  <c r="N259" i="1" s="1"/>
  <c r="L263" i="1"/>
  <c r="L261" i="1" s="1"/>
  <c r="N261" i="1" s="1"/>
  <c r="L266" i="1"/>
  <c r="L264" i="1" s="1"/>
  <c r="N264" i="1" s="1"/>
  <c r="L267" i="1"/>
  <c r="N267" i="1" s="1"/>
  <c r="L258" i="1"/>
  <c r="L257" i="1" s="1"/>
  <c r="N257" i="1" s="1"/>
  <c r="G257" i="1"/>
  <c r="G259" i="1"/>
  <c r="G261" i="1"/>
  <c r="G264" i="1"/>
  <c r="L102" i="1"/>
  <c r="L151" i="1"/>
  <c r="L99" i="1" s="1"/>
  <c r="Q257" i="1" l="1"/>
  <c r="Q261" i="1"/>
  <c r="Q259" i="1"/>
  <c r="Q264" i="1"/>
  <c r="M297" i="1"/>
  <c r="Q297" i="1"/>
  <c r="Q289" i="1"/>
  <c r="Q277" i="1"/>
  <c r="Q282" i="1"/>
  <c r="Q281" i="1"/>
  <c r="Q267" i="1"/>
  <c r="Q269" i="1"/>
  <c r="M289" i="1"/>
  <c r="M277" i="1"/>
  <c r="M264" i="1"/>
  <c r="M282" i="1"/>
  <c r="M281" i="1"/>
  <c r="M261" i="1"/>
  <c r="M257" i="1"/>
  <c r="M259" i="1"/>
  <c r="M267" i="1"/>
  <c r="M269" i="1"/>
  <c r="L152" i="1"/>
  <c r="M150" i="1" s="1"/>
  <c r="L150" i="1" s="1"/>
  <c r="N150" i="1" s="1"/>
  <c r="L149" i="1"/>
  <c r="M148" i="1" s="1"/>
  <c r="L148" i="1" s="1"/>
  <c r="N148" i="1" s="1"/>
  <c r="M128" i="1"/>
  <c r="L128" i="1" s="1"/>
  <c r="N128" i="1" s="1"/>
  <c r="L132" i="1"/>
  <c r="M130" i="1" s="1"/>
  <c r="L130" i="1" s="1"/>
  <c r="N130" i="1" s="1"/>
  <c r="L135" i="1"/>
  <c r="M133" i="1" s="1"/>
  <c r="L133" i="1" s="1"/>
  <c r="N133" i="1" s="1"/>
  <c r="M112" i="1"/>
  <c r="L112" i="1" s="1"/>
  <c r="N112" i="1" s="1"/>
  <c r="L95" i="1"/>
  <c r="M98" i="1"/>
  <c r="L98" i="1" s="1"/>
  <c r="N98" i="1" s="1"/>
  <c r="M124" i="1"/>
  <c r="M49" i="1"/>
  <c r="M29" i="1"/>
  <c r="M25" i="1"/>
  <c r="M23" i="1"/>
  <c r="M21" i="1"/>
  <c r="M88" i="1"/>
  <c r="M86" i="1"/>
  <c r="M84" i="1"/>
  <c r="M104" i="1"/>
  <c r="M108" i="1"/>
  <c r="M110" i="1"/>
  <c r="L110" i="1" s="1"/>
  <c r="N110" i="1" s="1"/>
  <c r="M114" i="1"/>
  <c r="L114" i="1" s="1"/>
  <c r="N114" i="1" s="1"/>
  <c r="M119" i="1"/>
  <c r="L119" i="1" s="1"/>
  <c r="N119" i="1" s="1"/>
  <c r="M213" i="1"/>
  <c r="L213" i="1" s="1"/>
  <c r="N213" i="1" s="1"/>
  <c r="M193" i="1"/>
  <c r="M191" i="1"/>
  <c r="M190" i="1"/>
  <c r="M187" i="1"/>
  <c r="M183" i="1"/>
  <c r="M181" i="1"/>
  <c r="M175" i="1"/>
  <c r="M173" i="1"/>
  <c r="M168" i="1"/>
  <c r="M160" i="1"/>
  <c r="M153" i="1"/>
  <c r="M146" i="1"/>
  <c r="M106" i="1"/>
  <c r="L197" i="1"/>
  <c r="L196" i="1"/>
  <c r="M199" i="1"/>
  <c r="L199" i="1" s="1"/>
  <c r="N199" i="1" s="1"/>
  <c r="M201" i="1"/>
  <c r="M203" i="1"/>
  <c r="L203" i="1" s="1"/>
  <c r="N203" i="1" s="1"/>
  <c r="M207" i="1"/>
  <c r="L207" i="1" s="1"/>
  <c r="N207" i="1" s="1"/>
  <c r="M205" i="1"/>
  <c r="L205" i="1" s="1"/>
  <c r="N205" i="1" s="1"/>
  <c r="M228" i="1"/>
  <c r="M223" i="1"/>
  <c r="M221" i="1"/>
  <c r="M219" i="1"/>
  <c r="L159" i="1"/>
  <c r="M158" i="1" s="1"/>
  <c r="M156" i="1"/>
  <c r="M35" i="1"/>
  <c r="M31" i="1"/>
  <c r="M73" i="1"/>
  <c r="M71" i="1"/>
  <c r="M69" i="1"/>
  <c r="M67" i="1"/>
  <c r="M65" i="1"/>
  <c r="L137" i="1"/>
  <c r="L142" i="1"/>
  <c r="M143" i="1"/>
  <c r="L42" i="1" l="1"/>
  <c r="M39" i="1" s="1"/>
  <c r="L39" i="1" s="1"/>
  <c r="N39" i="1" s="1"/>
  <c r="M136" i="1"/>
  <c r="L136" i="1" s="1"/>
  <c r="N136" i="1" s="1"/>
  <c r="L158" i="1"/>
  <c r="N158" i="1" s="1"/>
  <c r="L156" i="1"/>
  <c r="N156" i="1" s="1"/>
  <c r="Q203" i="1"/>
  <c r="Q133" i="1"/>
  <c r="Q150" i="1"/>
  <c r="Q110" i="1"/>
  <c r="Q205" i="1"/>
  <c r="Q199" i="1"/>
  <c r="Q128" i="1"/>
  <c r="Q114" i="1"/>
  <c r="Q98" i="1"/>
  <c r="Q207" i="1"/>
  <c r="Q119" i="1"/>
  <c r="Q112" i="1"/>
  <c r="Q148" i="1"/>
  <c r="N256" i="1"/>
  <c r="Q140" i="1"/>
  <c r="M211" i="1"/>
  <c r="Q213" i="1"/>
  <c r="Q130" i="1"/>
  <c r="L91" i="1"/>
  <c r="N91" i="1" s="1"/>
  <c r="M195" i="1"/>
  <c r="L195" i="1" s="1"/>
  <c r="N195" i="1" s="1"/>
  <c r="M55" i="1"/>
  <c r="M52" i="1"/>
  <c r="M19" i="1"/>
  <c r="M14" i="1"/>
  <c r="Q136" i="1" l="1"/>
  <c r="Q156" i="1"/>
  <c r="Q158" i="1"/>
  <c r="L58" i="1"/>
  <c r="M57" i="1" s="1"/>
  <c r="L57" i="1" s="1"/>
  <c r="N57" i="1" s="1"/>
  <c r="Q195" i="1"/>
  <c r="Q39" i="1"/>
  <c r="Q91" i="1"/>
  <c r="L64" i="1"/>
  <c r="N14" i="1"/>
  <c r="I255" i="1"/>
  <c r="I254" i="1" s="1"/>
  <c r="I252" i="1"/>
  <c r="I246" i="1"/>
  <c r="I242" i="1"/>
  <c r="I240" i="1"/>
  <c r="I238" i="1"/>
  <c r="I236" i="1"/>
  <c r="I234" i="1"/>
  <c r="I232" i="1"/>
  <c r="I228" i="1"/>
  <c r="I227" i="1"/>
  <c r="I225" i="1"/>
  <c r="I223" i="1"/>
  <c r="I221" i="1"/>
  <c r="I219" i="1"/>
  <c r="I215" i="1"/>
  <c r="I213" i="1"/>
  <c r="I211" i="1"/>
  <c r="I207" i="1"/>
  <c r="I205" i="1"/>
  <c r="I203" i="1"/>
  <c r="I201" i="1"/>
  <c r="I199" i="1"/>
  <c r="I195" i="1"/>
  <c r="I193" i="1"/>
  <c r="I191" i="1"/>
  <c r="I190" i="1"/>
  <c r="I187" i="1"/>
  <c r="I185" i="1"/>
  <c r="I183" i="1"/>
  <c r="I181" i="1"/>
  <c r="I179" i="1"/>
  <c r="I175" i="1"/>
  <c r="I173" i="1"/>
  <c r="I168" i="1"/>
  <c r="I166" i="1"/>
  <c r="I164" i="1"/>
  <c r="I163" i="1"/>
  <c r="I160" i="1"/>
  <c r="I158" i="1"/>
  <c r="I156" i="1"/>
  <c r="I153" i="1"/>
  <c r="I150" i="1"/>
  <c r="I148" i="1"/>
  <c r="I146" i="1"/>
  <c r="I143" i="1"/>
  <c r="I140" i="1"/>
  <c r="I136" i="1"/>
  <c r="I133" i="1"/>
  <c r="I130" i="1"/>
  <c r="I128" i="1"/>
  <c r="I124" i="1"/>
  <c r="I119" i="1"/>
  <c r="I114" i="1"/>
  <c r="I112" i="1"/>
  <c r="I110" i="1"/>
  <c r="I108" i="1"/>
  <c r="I106" i="1"/>
  <c r="I104" i="1"/>
  <c r="I98" i="1"/>
  <c r="I91" i="1"/>
  <c r="I88" i="1"/>
  <c r="I86" i="1"/>
  <c r="I84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2" i="1"/>
  <c r="I51" i="1"/>
  <c r="I49" i="1"/>
  <c r="I39" i="1"/>
  <c r="I35" i="1"/>
  <c r="I31" i="1"/>
  <c r="I29" i="1"/>
  <c r="I25" i="1"/>
  <c r="I23" i="1"/>
  <c r="I21" i="1"/>
  <c r="I19" i="1"/>
  <c r="I18" i="1"/>
  <c r="I16" i="1"/>
  <c r="I14" i="1"/>
  <c r="Q57" i="1" l="1"/>
  <c r="L62" i="1"/>
  <c r="M61" i="1" s="1"/>
  <c r="L61" i="1" s="1"/>
  <c r="N61" i="1" s="1"/>
  <c r="M63" i="1"/>
  <c r="L63" i="1" s="1"/>
  <c r="N63" i="1" s="1"/>
  <c r="N83" i="1"/>
  <c r="I90" i="1"/>
  <c r="N233" i="1"/>
  <c r="I162" i="1"/>
  <c r="I13" i="1"/>
  <c r="I83" i="1"/>
  <c r="I233" i="1"/>
  <c r="Q63" i="1" l="1"/>
  <c r="Q61" i="1"/>
  <c r="N13" i="1"/>
  <c r="I12" i="1"/>
  <c r="I11" i="1" s="1"/>
  <c r="N162" i="1"/>
  <c r="N90" i="1"/>
  <c r="L255" i="1" l="1"/>
  <c r="N255" i="1" s="1"/>
  <c r="M255" i="1" l="1"/>
  <c r="N254" i="1"/>
  <c r="N12" i="1" l="1"/>
  <c r="N11" i="1" s="1"/>
</calcChain>
</file>

<file path=xl/sharedStrings.xml><?xml version="1.0" encoding="utf-8"?>
<sst xmlns="http://schemas.openxmlformats.org/spreadsheetml/2006/main" count="1028" uniqueCount="449">
  <si>
    <t>SOUPIS PRACÍ</t>
  </si>
  <si>
    <t>Stavba:</t>
  </si>
  <si>
    <t>Objekt:</t>
  </si>
  <si>
    <t>Místo:</t>
  </si>
  <si>
    <t>Datum:</t>
  </si>
  <si>
    <t>Zadavatel:</t>
  </si>
  <si>
    <t>Projektant:</t>
  </si>
  <si>
    <t>Uchazeč:</t>
  </si>
  <si>
    <t>Zpracovatel:</t>
  </si>
  <si>
    <t>PČ</t>
  </si>
  <si>
    <t>Typ</t>
  </si>
  <si>
    <t>Kód</t>
  </si>
  <si>
    <t>Popis</t>
  </si>
  <si>
    <t>MJ</t>
  </si>
  <si>
    <t>Množství</t>
  </si>
  <si>
    <t>J.cena [CZK]</t>
  </si>
  <si>
    <t>Cena celkem [CZK]</t>
  </si>
  <si>
    <t>Náklady soupisu celkem</t>
  </si>
  <si>
    <t>D</t>
  </si>
  <si>
    <t>HSV</t>
  </si>
  <si>
    <t>Práce a dodávky HSV</t>
  </si>
  <si>
    <t>1</t>
  </si>
  <si>
    <t>Zemní práce</t>
  </si>
  <si>
    <t>K</t>
  </si>
  <si>
    <t>Sejmutí drnu tl do 100 mm s přemístěním do 50 m nebo naložením na dopravní prostředek</t>
  </si>
  <si>
    <t>m2</t>
  </si>
  <si>
    <t>VV</t>
  </si>
  <si>
    <t>drn</t>
  </si>
  <si>
    <t>"dle situace C.3" 2810</t>
  </si>
  <si>
    <t>2</t>
  </si>
  <si>
    <t>Směrové kácení stromů s rozřezáním a odvětvením D kmene do 400 mm</t>
  </si>
  <si>
    <t>kus</t>
  </si>
  <si>
    <t/>
  </si>
  <si>
    <t>"dle situace C.3" 1</t>
  </si>
  <si>
    <t>3</t>
  </si>
  <si>
    <t>Štěpkování solitérních stromků a větví průměru kmene přes 300 do 500 mm s naložením</t>
  </si>
  <si>
    <t>4</t>
  </si>
  <si>
    <t>Odstranění pařezů D do 0,4 m v rovině a svahu 1:5 s odklizením do 20 m a zasypáním jámy</t>
  </si>
  <si>
    <t>5</t>
  </si>
  <si>
    <t>Rozebrání dlažeb z betonových nebo kamenných dlaždic komunikací pro pěší strojně pl přes 50 m2</t>
  </si>
  <si>
    <t>"rozebrání stávajícího chodníku - dle situace C.3" 78</t>
  </si>
  <si>
    <t>6</t>
  </si>
  <si>
    <t>Rozebrání dlažeb ze zámkových dlaždic komunikací pro pěší strojně pl přes 50 m2</t>
  </si>
  <si>
    <t>"rozebrání stávajících vjezdů - dle situace C.3" 39</t>
  </si>
  <si>
    <t>7</t>
  </si>
  <si>
    <t>Odstranění podkladu z kameniva drceného tl 200 mm strojně pl přes 200 m2</t>
  </si>
  <si>
    <t>"odstranění povrchu stávající komunikace - dle situace C.3" 595</t>
  </si>
  <si>
    <t>"odstranění stávajících štěrkových povrchů - dle situace C.3" 1455</t>
  </si>
  <si>
    <t>Součet</t>
  </si>
  <si>
    <t>8</t>
  </si>
  <si>
    <t>Odstranění podkladu živičného tl 100 mm strojně pl přes 200 m2</t>
  </si>
  <si>
    <t>9</t>
  </si>
  <si>
    <t>Frézování živičného krytu tl 50 mm pruh š 0,5 m pl do 500 m2 bez překážek v trase</t>
  </si>
  <si>
    <t>"napojení na ulici Křižíkovu - dle situace C.3" 46*0,5</t>
  </si>
  <si>
    <t>"napojení na cyklostezky- dle situace C.3" 20</t>
  </si>
  <si>
    <t>10</t>
  </si>
  <si>
    <t>Frézování živičného krytu tl 100 mm pruh š 0,5 m pl do 500 m2 bez překážek v trase</t>
  </si>
  <si>
    <t>"napojení na ulici Křižíkovu - dle situace C.3" 46*0,25</t>
  </si>
  <si>
    <t>11</t>
  </si>
  <si>
    <t>Odkopávky a prokopávky nezapažené v hornině třídy těžitelnosti I, skupiny 3 objem do 5000 m3 strojně</t>
  </si>
  <si>
    <t>m3</t>
  </si>
  <si>
    <t>"odkopávky dle tabulky kubatur" 993+161</t>
  </si>
  <si>
    <t>"odkopávka pro mlatový chodník" mlat*(0,29-0,1)</t>
  </si>
  <si>
    <t xml:space="preserve">"odkopávky pro sanaci aktivní zóny" (komunikace+práh)*0,5+(chodník+vjezdy+parkování+relchod+relvjezd)*0,3 </t>
  </si>
  <si>
    <t>"odpočet bouraných konstrukcí - asfaltová komunikace" -595*0,3</t>
  </si>
  <si>
    <t>"odpočet bouraných konstrukcí - štěrky" -1375*0,2</t>
  </si>
  <si>
    <t>"odpočet bouraných konstrukcí - dlažba chodníku" -78*0,1</t>
  </si>
  <si>
    <t>"odpočet bouraných konstrukcí - vjezdy" -39*0,12</t>
  </si>
  <si>
    <t>"odpočet bouraných konstrukcí - drn" -drn*0,1</t>
  </si>
  <si>
    <t>odkop</t>
  </si>
  <si>
    <t>12</t>
  </si>
  <si>
    <t>Hloubení rýh nezapažených  š do 800 mm v hornině třídy těžitelnosti I, skupiny 3 objem do 100 m3 strojně</t>
  </si>
  <si>
    <t>rýha</t>
  </si>
  <si>
    <t>"rýha pro podélný trativod" 157*0,3</t>
  </si>
  <si>
    <t>13</t>
  </si>
  <si>
    <t>Vodorovné přemístění kmenů stromů listnatých do 1 km D kmene přes 300 do 500 mm</t>
  </si>
  <si>
    <t>14</t>
  </si>
  <si>
    <t>Vodorovné přemístění pařezů do 1 km D přes 300 do 500 mm</t>
  </si>
  <si>
    <t>15</t>
  </si>
  <si>
    <t>Příplatek k vodorovnému přemístění kmenů stromů listnatých D kmene přes 300 do 500 mm ZKD 1 km</t>
  </si>
  <si>
    <t>1*9</t>
  </si>
  <si>
    <t>16</t>
  </si>
  <si>
    <t>Příplatek k vodorovnému přemístění pařezů D přes 300 do 500 mm ZKD 1 km</t>
  </si>
  <si>
    <t>17</t>
  </si>
  <si>
    <t>Vodorovné přemístění do 10000 m výkopku/sypaniny z horniny třídy těžitelnosti I, skupiny 1 až 3</t>
  </si>
  <si>
    <t>odvoz</t>
  </si>
  <si>
    <t>odkop+drn*0,1+rýha-násyp</t>
  </si>
  <si>
    <t>18</t>
  </si>
  <si>
    <t>Uložení sypaniny z hornin soudržných do násypů zhutněných strojně</t>
  </si>
  <si>
    <t>násyp</t>
  </si>
  <si>
    <t>"dle tabulky kubatur" 25+1,5</t>
  </si>
  <si>
    <t>19</t>
  </si>
  <si>
    <t>Poplatek za uložení na skládce (skládkovné) zeminy a kamení kód odpadu 17 05 04</t>
  </si>
  <si>
    <t>t</t>
  </si>
  <si>
    <t>odvoz*1,85</t>
  </si>
  <si>
    <t>20</t>
  </si>
  <si>
    <t>Uložení sypaniny na skládky nebo meziskládky</t>
  </si>
  <si>
    <t>21</t>
  </si>
  <si>
    <t>Rozprostření ornice tl vrstvy do 200 mm pl přes 500 m2 v rovině nebo ve svahu do 1:5 strojně</t>
  </si>
  <si>
    <t>zeleň</t>
  </si>
  <si>
    <t>"ozelenění - dle situace" 249+8,5*2+133+4+289+168+7+130+52+17,5+12,5+26,5+17+13+7,5+27,5+211+35+151+106+92</t>
  </si>
  <si>
    <t>22</t>
  </si>
  <si>
    <t>M</t>
  </si>
  <si>
    <t>zemina pro terénní úpravy -  ornice</t>
  </si>
  <si>
    <t>"zatravněné plochy - dle situace D.1.1.2.1" zeleň*0,15*1,85</t>
  </si>
  <si>
    <t>23</t>
  </si>
  <si>
    <t>Založení parkového trávníku výsevem plochy přes 1000 m2 v rovině a ve svahu do 1:5</t>
  </si>
  <si>
    <t>"zatravněné plochy - dle situace D.1.1.2.1" zeleň</t>
  </si>
  <si>
    <t>24</t>
  </si>
  <si>
    <t>osivo směs travní parková</t>
  </si>
  <si>
    <t>kg</t>
  </si>
  <si>
    <t>"zatravněné plochy - dle situace D.1.1.2.1" zeleň*30*0,001</t>
  </si>
  <si>
    <t>25</t>
  </si>
  <si>
    <t>Úprava pláně v hornině třídy těžitelnosti I, skupiny 1 až 3 se zhutněním strojně</t>
  </si>
  <si>
    <t>chodník+komunikace+vjezdy+parkování+mlat+práh+relchod+relvjezd</t>
  </si>
  <si>
    <t>26</t>
  </si>
  <si>
    <t>Chemické odplevelení před založením kultury nad 20 m2 postřikem na široko v rovině a svahu do 1:5</t>
  </si>
  <si>
    <t>27</t>
  </si>
  <si>
    <t>Zalití rostlin vodou plocha přes 20 m2</t>
  </si>
  <si>
    <t>"zatravněné plochy - dle situace D.1.1.2.1" zeleň*0,005</t>
  </si>
  <si>
    <t>28</t>
  </si>
  <si>
    <t>Dovoz vody pro zálivku rostlin za vzdálenost do 1000 m</t>
  </si>
  <si>
    <t>29</t>
  </si>
  <si>
    <t>Příplatek k dovozu vody pro zálivku rostlin do 1000 m ZKD 1000 m</t>
  </si>
  <si>
    <t>"zatravněné plochy - dle situace D.1.1.2.1" zeleň*0,005*5</t>
  </si>
  <si>
    <t>Zakládání</t>
  </si>
  <si>
    <t>30</t>
  </si>
  <si>
    <t>Výplň odvodňovacích žeber nebo trativodů kamenivem hrubým drceným frakce 4 až 16 mm</t>
  </si>
  <si>
    <t>rýha-157*3,14*0,05*0,05-lože</t>
  </si>
  <si>
    <t>31</t>
  </si>
  <si>
    <t>Lože pro trativody ze štěrkopísku tříděného</t>
  </si>
  <si>
    <t>lože</t>
  </si>
  <si>
    <t>"podélný trativod" 157*0,5*0,1</t>
  </si>
  <si>
    <t>32</t>
  </si>
  <si>
    <t>Trativody z drenážních trubek plastových flexibilních D 100 mm bez lože</t>
  </si>
  <si>
    <t>m</t>
  </si>
  <si>
    <t>"podélný trativod" 157</t>
  </si>
  <si>
    <t>Komunikace pozemní</t>
  </si>
  <si>
    <t>33</t>
  </si>
  <si>
    <t>Podklad ze štěrkodrtě ŠD tl 150 mm</t>
  </si>
  <si>
    <t>komunikace</t>
  </si>
  <si>
    <t>"konstrukce komunikace: D1-N-2, TDZ V, P III - dle situace" 1798+97</t>
  </si>
  <si>
    <t>chodník</t>
  </si>
  <si>
    <t>"konstrukce chodníku: D2-D-1, TDZ VI, P III - dle situace" 137+30+22+22+27+13,5+9,5+57+22,5+24</t>
  </si>
  <si>
    <t>relchod</t>
  </si>
  <si>
    <t>"konstrukce chodníku - reliéfní: D2-D-1, TDZ VI, P III - dle situace" 1,05+1,3+1,8+3,25+0,7+0,7+0,65</t>
  </si>
  <si>
    <t>práh</t>
  </si>
  <si>
    <t>"konstrukce zpomalovacího prahu: D1-D-1, TDZ V, P III - dle situace" 21,6</t>
  </si>
  <si>
    <t>mlat</t>
  </si>
  <si>
    <t>"konstrukce mlatového chodníku - dle situace" 28</t>
  </si>
  <si>
    <t>komunikace*2+chodník+mlat+práh+relchod</t>
  </si>
  <si>
    <t>34</t>
  </si>
  <si>
    <t>Podklad ze štěrkodrtě ŠD tl 250 mm</t>
  </si>
  <si>
    <t>vjezdy</t>
  </si>
  <si>
    <t>"konstrukce vjezdu: D2-D-1, TDZ VI, P III - dle situace" 6,9+6,9+5,6+6,5+30,5+12+11,6</t>
  </si>
  <si>
    <t>relvjezd</t>
  </si>
  <si>
    <t>"konstrukce vjezdu - reliéfní: D2-D-1, TDZ VI, P III - dle situace" 2,9+2,9+2,55+2,2+1,95</t>
  </si>
  <si>
    <t>parkování</t>
  </si>
  <si>
    <t>"konstrukce parkovacího zálivu: D2-D-1, TDZ VI, P III - dle situace" 56,5+56,7+70,7+33,7+44,3</t>
  </si>
  <si>
    <t>"sanace aktivní zóny" (komunikace+práh)*2</t>
  </si>
  <si>
    <t>35</t>
  </si>
  <si>
    <t>Podklad ze štěrkodrtě ŠD tl. 300 mm</t>
  </si>
  <si>
    <t>"sanace aktivní zóny" chodník+vjezdy+parkování+relchod+relvjezd</t>
  </si>
  <si>
    <t>36</t>
  </si>
  <si>
    <t>56494211R</t>
  </si>
  <si>
    <t>Konstrukce mlatového chodníku - kamenná drť 0/4 tl. 40 mm + kamenná drť 0/32  tl. 100 mm</t>
  </si>
  <si>
    <t>"mlatový chodník" mlat</t>
  </si>
  <si>
    <t>37</t>
  </si>
  <si>
    <t>Podklad z asfaltového recyklátu tl 150 mm - použit vyfrézovaný materiál</t>
  </si>
  <si>
    <t>"napojení na stávající nezpevněnou plochu - dle situace C.3" 34,3</t>
  </si>
  <si>
    <t>38</t>
  </si>
  <si>
    <t>Asfaltový beton vrstva podkladní ACP 16 (obalované kamenivo OKS) tl 70 mm š přes 3 m</t>
  </si>
  <si>
    <t>39</t>
  </si>
  <si>
    <t>Podklad ze směsi stmelené cementem SC C 8/10 (KSC I) tl 200 mm</t>
  </si>
  <si>
    <t>40</t>
  </si>
  <si>
    <t>Postřik živičný spojovací ze silniční emulze v množství 0,30 kg/m2</t>
  </si>
  <si>
    <t>"napojení na ulici Křižíkovu - dle situace C.3" 46*(0,5+0,25)</t>
  </si>
  <si>
    <t>41</t>
  </si>
  <si>
    <t>Asfaltový beton vrstva obrusná ACO 11 (ABS) tř. I tl 40 mm š přes 3 m z nemodifikovaného asfaltu</t>
  </si>
  <si>
    <t>42</t>
  </si>
  <si>
    <t>Asfaltový beton vrstva ložní ACL 22 (ABVH) tl 60 mm š do 3 m z nemodifikovaného asfaltu</t>
  </si>
  <si>
    <t>43</t>
  </si>
  <si>
    <t>Kladení dlažby z kostek drobných z kamene na MC tl 50 mm</t>
  </si>
  <si>
    <t>44</t>
  </si>
  <si>
    <t>kostka dlažební žula drobná 8/10</t>
  </si>
  <si>
    <t>práh - "trojúhelníky z bílé dlažby" (1,3*0,5*0,5*10+0,25*6)</t>
  </si>
  <si>
    <t>16,85*1,02 'Přepočtené koeficientem množství</t>
  </si>
  <si>
    <t>45</t>
  </si>
  <si>
    <t>5838100R</t>
  </si>
  <si>
    <t>kostka dlažební žula drobná 8/10 - bílá</t>
  </si>
  <si>
    <t>"trojúhelníky z bílé dlažby" 1,3*0,5*0,5*10+0,25*6</t>
  </si>
  <si>
    <t>4,75*1,02 'Přepočtené koeficientem množství</t>
  </si>
  <si>
    <t>46</t>
  </si>
  <si>
    <t>Kladení zámkové dlažby komunikací pro pěší tl 60 mm skupiny A pl přes 300 m2</t>
  </si>
  <si>
    <t>chodník+relchod</t>
  </si>
  <si>
    <t>"vodící proužek" 5*0,25</t>
  </si>
  <si>
    <t>47</t>
  </si>
  <si>
    <t>dlažba tvar obdélník betonová 200x100x60mm přírodní</t>
  </si>
  <si>
    <t>364,5*1,02 'Přepočtené koeficientem množství</t>
  </si>
  <si>
    <t>48</t>
  </si>
  <si>
    <t>dlažba tvar obdélník betonová pro nevidomé 200x100x60mm barevná</t>
  </si>
  <si>
    <t>9,45*1,02 'Přepočtené koeficientem množství</t>
  </si>
  <si>
    <t>49</t>
  </si>
  <si>
    <t>linie vodicí pro orientaci nevidomých na přechodu bílá š 170mm</t>
  </si>
  <si>
    <t>"vodící proužek" 5</t>
  </si>
  <si>
    <t>50</t>
  </si>
  <si>
    <t>Kladení zámkové dlažby pozemních komunikací tl 80 mm skupiny A pl do 100 m2</t>
  </si>
  <si>
    <t>vjezdy+relvjezd</t>
  </si>
  <si>
    <t>51</t>
  </si>
  <si>
    <t>dlažba tvar obdélník betonová 200x100x80mm přírodní</t>
  </si>
  <si>
    <t>80*1,02 'Přepočtené koeficientem množství</t>
  </si>
  <si>
    <t>52</t>
  </si>
  <si>
    <t>dlažba tvar obdélník betonová pro nevidomé 200x100x80mm barevná</t>
  </si>
  <si>
    <t>12,5*1,02 'Přepočtené koeficientem množství</t>
  </si>
  <si>
    <t>53</t>
  </si>
  <si>
    <t>Kladení dlažby z vegetačních tvárnic pozemních komunikací tl 80 mm do 300 m2</t>
  </si>
  <si>
    <t>54</t>
  </si>
  <si>
    <t>dlažba plošná betonová vegetační 600x400x80mm</t>
  </si>
  <si>
    <t>261,9*1,02 'Přepočtené koeficientem množství</t>
  </si>
  <si>
    <t>55</t>
  </si>
  <si>
    <t>Řezání betonové, kameninové a kamenné dlažby do oblouku tl přes 60 do 80 mm</t>
  </si>
  <si>
    <t>"trojúhelníky z bílé dlažby" 1,35*10+1*6</t>
  </si>
  <si>
    <t>Ostatní konstrukce a práce, bourání</t>
  </si>
  <si>
    <t>56</t>
  </si>
  <si>
    <t>Montáž svislé dopravní značky do velikosti 1 m2 objímkami na sloupek nebo konzolu</t>
  </si>
  <si>
    <t>57</t>
  </si>
  <si>
    <t>značky upravující přednost P2, P3, P8 500mm</t>
  </si>
  <si>
    <t>"P2" 1</t>
  </si>
  <si>
    <t>58</t>
  </si>
  <si>
    <t>značky upravující přednost P6 700mm</t>
  </si>
  <si>
    <t>"P6" 2</t>
  </si>
  <si>
    <t>59</t>
  </si>
  <si>
    <t>zákazové, příkazové dopravní značky B1-B34, C1-15 500mm</t>
  </si>
  <si>
    <t>"B2" 2</t>
  </si>
  <si>
    <t>"B24a" 1</t>
  </si>
  <si>
    <t>"B24b" 1</t>
  </si>
  <si>
    <t>60</t>
  </si>
  <si>
    <t>dodatkové tabulky E1, E2a,b , E6, E9, E10 E12c, E17 500x500mm</t>
  </si>
  <si>
    <t>"E2a" 1</t>
  </si>
  <si>
    <t>61</t>
  </si>
  <si>
    <t>informativní značky jiné IJ17, IJ18 1750x1500mm</t>
  </si>
  <si>
    <t>"IZ8a" 2</t>
  </si>
  <si>
    <t>"IZ8b" 1</t>
  </si>
  <si>
    <t>62</t>
  </si>
  <si>
    <t>informativní značky jiné IJ1-IJ3, IJ4c-IJ16 500x700mm</t>
  </si>
  <si>
    <t>"IZ5a" 1</t>
  </si>
  <si>
    <t>63</t>
  </si>
  <si>
    <t>informativní značky provozní IP1-IP3, IP4b-IP7, IP10a, b 500x500mm</t>
  </si>
  <si>
    <t>"IP4b" 2</t>
  </si>
  <si>
    <t>64</t>
  </si>
  <si>
    <t>informativní značky provozní IP8, IP9, IP11-IP13 500x700mm</t>
  </si>
  <si>
    <t>"IP12" 1</t>
  </si>
  <si>
    <t>65</t>
  </si>
  <si>
    <t>dodatkové tabulky E7, E12, E13 500x300mm</t>
  </si>
  <si>
    <t>"E13-O" 1</t>
  </si>
  <si>
    <t>66</t>
  </si>
  <si>
    <t>Montáž sloupku dopravních značek délky do 3,5 m s betonovým základem a patkou</t>
  </si>
  <si>
    <t>"dle PD"16</t>
  </si>
  <si>
    <t>67</t>
  </si>
  <si>
    <t>sloupek pro dopravní značku Zn D 60mm v 3,5m</t>
  </si>
  <si>
    <t>68</t>
  </si>
  <si>
    <t>Předformátované vodorovné dopravní značení dopravní značky do 5 m2</t>
  </si>
  <si>
    <t>"znak invalid" 1</t>
  </si>
  <si>
    <t>69</t>
  </si>
  <si>
    <t>Předformátované vodorovné dopravní značení čára šířky 12 cm</t>
  </si>
  <si>
    <t>"značení parkovacích stání" 5*2+13*4,5</t>
  </si>
  <si>
    <t>70</t>
  </si>
  <si>
    <t>Osazení silničního obrubníku betonového stojatého s boční opěrou do lože z betonu prostého</t>
  </si>
  <si>
    <t>"silniční obruby 150/250/1000 - dle situace C.3" 708</t>
  </si>
  <si>
    <t>"obruby před vjezdy - dle situace C.3" 131+22</t>
  </si>
  <si>
    <t>71</t>
  </si>
  <si>
    <t>obrubník betonový silniční nájezdový 1000x150x150mm</t>
  </si>
  <si>
    <t>"obruby před vjezdy a na parkovacím zálivu - dle situace C.3" 131</t>
  </si>
  <si>
    <t>72</t>
  </si>
  <si>
    <t>obrubník betonový silniční přechodový 1000x150x150-250mm</t>
  </si>
  <si>
    <t>"obruby před vjezdy - dle situace C.3" 11*2</t>
  </si>
  <si>
    <t>73</t>
  </si>
  <si>
    <t>obrubník betonový silniční 1000x150x250mm</t>
  </si>
  <si>
    <t>74</t>
  </si>
  <si>
    <t>91617131R</t>
  </si>
  <si>
    <t>Ocelový obrubník 2/200/2000 mm zapuštěný</t>
  </si>
  <si>
    <t>"vymezení mlatového chodníku" 19,8+17,5</t>
  </si>
  <si>
    <t>75</t>
  </si>
  <si>
    <t>Osazení chodníkového obrubníku betonového stojatého s boční opěrou do lože z betonu prostého</t>
  </si>
  <si>
    <t>"obruba chodníková 100/250/1000 - práh + odbočka - dle situace C.3" 35</t>
  </si>
  <si>
    <t>"obruba záhonová 80/250/1000 - dle situace C.3" 347</t>
  </si>
  <si>
    <t>76</t>
  </si>
  <si>
    <t>obrubník betonový chodníkový 1000x100x250mm</t>
  </si>
  <si>
    <t>77</t>
  </si>
  <si>
    <t>obrubník betonový chodníkový 1000x80x250mm</t>
  </si>
  <si>
    <t>78</t>
  </si>
  <si>
    <t>Těsnění spár zálivkou za studena pro komůrky š 20 mm hl 40 mm bez těsnicího profilu</t>
  </si>
  <si>
    <t>"napojení na ulici Křižíkovu - dle situace C.3" 46+0,5*2</t>
  </si>
  <si>
    <t>"napojení na cyklostezky- dle situace C.3" 7,5</t>
  </si>
  <si>
    <t>79</t>
  </si>
  <si>
    <t>Řezání stávajícího živičného krytu hl do 50 mm</t>
  </si>
  <si>
    <t>80</t>
  </si>
  <si>
    <t>Řezání stávajícího živičného krytu hl do 100 mm</t>
  </si>
  <si>
    <t>"napojení na ulici Křižíkovu - dle situace C.3" 46+0,25*2</t>
  </si>
  <si>
    <t>81</t>
  </si>
  <si>
    <t>Řezání stávajícího živičného krytu hl do 150 mm</t>
  </si>
  <si>
    <t>82</t>
  </si>
  <si>
    <t>Osazení příkopového žlabu do štěrkopísku tl 100 mm z betonových tvárnic š 800 mm</t>
  </si>
  <si>
    <t>83</t>
  </si>
  <si>
    <t>5922702R</t>
  </si>
  <si>
    <t>žlabovka příkopová betonová 600x170x500mm</t>
  </si>
  <si>
    <t>84</t>
  </si>
  <si>
    <t>Čištění vozovek splachováním vodou</t>
  </si>
  <si>
    <t>85</t>
  </si>
  <si>
    <t>Odstranění značek dopravních nebo orientačních se sloupky s betonovými patkami</t>
  </si>
  <si>
    <t>Přesun sutě</t>
  </si>
  <si>
    <t>86</t>
  </si>
  <si>
    <t>Vodorovná doprava suti ze sypkých materiálů do 1 km</t>
  </si>
  <si>
    <t>sutkam+sutzivsyp</t>
  </si>
  <si>
    <t>87</t>
  </si>
  <si>
    <t>Příplatek ZKD 1 km u vodorovné dopravy suti ze sypkých materiálů</t>
  </si>
  <si>
    <t>(sutkam+sutzivsyp)*9</t>
  </si>
  <si>
    <t>88</t>
  </si>
  <si>
    <t>Vodorovná doprava suti z kusových materiálů do 1 km</t>
  </si>
  <si>
    <t>sutbet+sutziv</t>
  </si>
  <si>
    <t>89</t>
  </si>
  <si>
    <t>Příplatek ZKD 1 km u vodorovné dopravy suti z kusových materiálů</t>
  </si>
  <si>
    <t>(sutbet+sutziv)*9</t>
  </si>
  <si>
    <t>90</t>
  </si>
  <si>
    <t>Poplatek za uložení na skládce (skládkovné) stavebního odpadu betonového kód odpadu 17 01 01</t>
  </si>
  <si>
    <t>"vybouraná zámková dlažba" 10,14</t>
  </si>
  <si>
    <t>"vybouraná betonová dlažba" 19,89</t>
  </si>
  <si>
    <t>sutbet</t>
  </si>
  <si>
    <t>91</t>
  </si>
  <si>
    <t>Poplatek za uložení na skládce (skládkovné) odpadu asfaltového bez dehtu kód odpadu 17 03 02</t>
  </si>
  <si>
    <t>"odfrézovaná živice pro napojení se na stávající komunikace" 4,945+7,245</t>
  </si>
  <si>
    <t>"odpočet pro zpětné použití na napojení na stávající nezpevněnou plochu" -11,113</t>
  </si>
  <si>
    <t>sutzivsyp</t>
  </si>
  <si>
    <t>Mezisoučet</t>
  </si>
  <si>
    <t>sutziv</t>
  </si>
  <si>
    <t>"vybouraná asfaltová komunikace" 130,9</t>
  </si>
  <si>
    <t>92</t>
  </si>
  <si>
    <t>sutkam</t>
  </si>
  <si>
    <t>"vybourané podkladní vrstvy a kryty ze štěrku" 594,5</t>
  </si>
  <si>
    <t>Přesun hmot</t>
  </si>
  <si>
    <t>93</t>
  </si>
  <si>
    <t>Přesun hmot pro pozemní komunikace s krytem z kamene, monolitickým betonovým nebo živičným</t>
  </si>
  <si>
    <t>Komunikace a chodník ul. Křižíkova - K Lávce, parkoviště u přístaviště</t>
  </si>
  <si>
    <t>SO 101 - Komunikace</t>
  </si>
  <si>
    <t>Čelákovice</t>
  </si>
  <si>
    <t>14. 3. 2022</t>
  </si>
  <si>
    <t>Město Čelákovice</t>
  </si>
  <si>
    <t>VDI Projekt s.r.o.</t>
  </si>
  <si>
    <t>SKL RECYKLOSTAV s.r.o.</t>
  </si>
  <si>
    <t>Ing. Jan Duben</t>
  </si>
  <si>
    <t>Cenová soustava</t>
  </si>
  <si>
    <t>Množství v dodatcích</t>
  </si>
  <si>
    <t>Množství celkem</t>
  </si>
  <si>
    <t>Náklad v dodatcích</t>
  </si>
  <si>
    <r>
      <rPr>
        <sz val="8"/>
        <color rgb="FFFF0000"/>
        <rFont val="Arial CE"/>
        <family val="2"/>
        <charset val="238"/>
      </rPr>
      <t>chodník</t>
    </r>
    <r>
      <rPr>
        <sz val="8"/>
        <color rgb="FF505050"/>
        <rFont val="Arial CE"/>
        <family val="2"/>
        <charset val="238"/>
      </rPr>
      <t>+relchod</t>
    </r>
  </si>
  <si>
    <r>
      <rPr>
        <sz val="8"/>
        <color rgb="FFFF0000"/>
        <rFont val="Arial CE"/>
        <family val="2"/>
        <charset val="238"/>
      </rPr>
      <t>352</t>
    </r>
    <r>
      <rPr>
        <sz val="8"/>
        <color rgb="FF505050"/>
        <rFont val="Arial CE"/>
        <family val="2"/>
        <charset val="238"/>
      </rPr>
      <t>*1,02 'Přepočtené koeficientem množství</t>
    </r>
  </si>
  <si>
    <r>
      <rPr>
        <sz val="8"/>
        <color rgb="FFFF0000"/>
        <rFont val="Arial CE"/>
        <family val="2"/>
        <charset val="238"/>
      </rPr>
      <t>253</t>
    </r>
    <r>
      <rPr>
        <sz val="8"/>
        <color rgb="FF505050"/>
        <rFont val="Arial CE"/>
        <family val="2"/>
        <charset val="238"/>
      </rPr>
      <t>*1,02 'Přepočtené koeficientem množství</t>
    </r>
  </si>
  <si>
    <t>vymezení mlatového chodníku</t>
  </si>
  <si>
    <r>
      <t xml:space="preserve">obruby před vjezdy </t>
    </r>
    <r>
      <rPr>
        <sz val="8"/>
        <color rgb="FFFF0000"/>
        <rFont val="Arial CE"/>
        <family val="2"/>
        <charset val="238"/>
      </rPr>
      <t>a parkovacím zálivu + 13 m (snížení obrubníků na parkovišti, s použitím stejných obrub)</t>
    </r>
  </si>
  <si>
    <r>
      <t xml:space="preserve">práh </t>
    </r>
    <r>
      <rPr>
        <sz val="8"/>
        <color rgb="FFFF0000"/>
        <rFont val="Arial CE"/>
        <family val="2"/>
        <charset val="238"/>
      </rPr>
      <t>+ 2. práh + propoj mezi komunikací a žlabem</t>
    </r>
  </si>
  <si>
    <r>
      <t>sanace aktivní zóny" (</t>
    </r>
    <r>
      <rPr>
        <sz val="8"/>
        <color rgb="FFFF0000"/>
        <rFont val="Arial CE"/>
        <family val="2"/>
        <charset val="238"/>
      </rPr>
      <t>komunikac</t>
    </r>
    <r>
      <rPr>
        <sz val="8"/>
        <color rgb="FF505050"/>
        <rFont val="Arial CE"/>
        <family val="2"/>
        <charset val="238"/>
      </rPr>
      <t>e+práh</t>
    </r>
    <r>
      <rPr>
        <sz val="8"/>
        <color rgb="FFFF0000"/>
        <rFont val="Arial CE"/>
        <family val="2"/>
        <charset val="238"/>
      </rPr>
      <t>+ 2. práh + propoj mezi komunikací a žlabem</t>
    </r>
    <r>
      <rPr>
        <sz val="8"/>
        <color rgb="FF505050"/>
        <rFont val="Arial CE"/>
        <family val="2"/>
        <charset val="238"/>
      </rPr>
      <t>)*2</t>
    </r>
  </si>
  <si>
    <r>
      <t xml:space="preserve">konstrukce zpomalovacího prahu: D1-D-1, TDZ V, P III - dle situace" 21,6 </t>
    </r>
    <r>
      <rPr>
        <sz val="8"/>
        <color rgb="FFFF0000"/>
        <rFont val="Arial CE"/>
        <family val="2"/>
        <charset val="238"/>
      </rPr>
      <t>+  2. práh + propoj mezi komunikací a žlabem</t>
    </r>
  </si>
  <si>
    <r>
      <t xml:space="preserve">práh </t>
    </r>
    <r>
      <rPr>
        <sz val="8"/>
        <color rgb="FFFF0000"/>
        <rFont val="Arial CE"/>
        <family val="2"/>
        <charset val="238"/>
      </rPr>
      <t>+ 2. práh</t>
    </r>
  </si>
  <si>
    <t>dva prahy</t>
  </si>
  <si>
    <t>dva prahy + propoj nezi komunikací a žlabem</t>
  </si>
  <si>
    <t>Položky nad rámec rozpočtu</t>
  </si>
  <si>
    <t>20*1,02 'Přepočtené koeficientem množství</t>
  </si>
  <si>
    <r>
      <t xml:space="preserve">vjezdy </t>
    </r>
    <r>
      <rPr>
        <sz val="8"/>
        <color rgb="FFFF0000"/>
        <rFont val="Arial CE"/>
        <family val="2"/>
        <charset val="238"/>
      </rPr>
      <t>+ parkování (invalida)</t>
    </r>
  </si>
  <si>
    <r>
      <rPr>
        <sz val="8"/>
        <color rgb="FFFF0000"/>
        <rFont val="Arial CE"/>
        <family val="2"/>
        <charset val="238"/>
      </rPr>
      <t>vjezdy</t>
    </r>
    <r>
      <rPr>
        <sz val="8"/>
        <color rgb="FF505050"/>
        <rFont val="Arial CE"/>
        <family val="2"/>
        <charset val="238"/>
      </rPr>
      <t>+relvjezd</t>
    </r>
    <r>
      <rPr>
        <sz val="8"/>
        <color rgb="FFFF0000"/>
        <rFont val="Arial CE"/>
        <family val="2"/>
        <charset val="238"/>
      </rPr>
      <t xml:space="preserve"> + parkování (invalida)</t>
    </r>
  </si>
  <si>
    <r>
      <t>vjezdy</t>
    </r>
    <r>
      <rPr>
        <sz val="8"/>
        <color rgb="FFFF0000"/>
        <rFont val="Arial CE"/>
        <family val="2"/>
        <charset val="238"/>
      </rPr>
      <t xml:space="preserve"> + parkování (invalida)</t>
    </r>
  </si>
  <si>
    <t>7*1,02 'Přepočtené koeficientem množství</t>
  </si>
  <si>
    <t>parkovací plocha</t>
  </si>
  <si>
    <t>parkovací plocha - dělící pruh, červená</t>
  </si>
  <si>
    <t>parkovací plocha + parkovací plocha - dělící pruh, červená</t>
  </si>
  <si>
    <r>
      <t>Osazení zahradního</t>
    </r>
    <r>
      <rPr>
        <sz val="9"/>
        <color rgb="FF000000"/>
        <rFont val="Segoe UI"/>
        <family val="2"/>
        <charset val="238"/>
      </rPr>
      <t> obrubníku betonového do lože z betonu s boční opěrou</t>
    </r>
  </si>
  <si>
    <t>doasfaltování k lávce</t>
  </si>
  <si>
    <r>
      <t>Rozebrání </t>
    </r>
    <r>
      <rPr>
        <sz val="9"/>
        <color rgb="FF000000"/>
        <rFont val="Segoe UI"/>
        <family val="2"/>
        <charset val="238"/>
      </rPr>
      <t>oplocení z vlnitého nebo profilového plechu hmotnosti do 30 kg</t>
    </r>
  </si>
  <si>
    <r>
      <t>Montáž </t>
    </r>
    <r>
      <rPr>
        <sz val="9"/>
        <color rgb="FF000000"/>
        <rFont val="Arial"/>
        <family val="2"/>
        <charset val="238"/>
      </rPr>
      <t>oplocení ze strojového pletiva s napínacími dráty v přes 2,0 do 4,0 m</t>
    </r>
  </si>
  <si>
    <r>
      <t>Rozvinutí, montáž a napnutí napínacího drátu na</t>
    </r>
    <r>
      <rPr>
        <sz val="9"/>
        <rFont val="Arial"/>
        <family val="2"/>
        <charset val="238"/>
      </rPr>
      <t> </t>
    </r>
    <r>
      <rPr>
        <sz val="9"/>
        <color rgb="FF000000"/>
        <rFont val="Arial"/>
        <family val="2"/>
        <charset val="238"/>
      </rPr>
      <t>oplocení</t>
    </r>
  </si>
  <si>
    <t>Osazování sloupků a vzpěr plotových ocelových v přes 2 do 2,6 m se zabetonováním</t>
  </si>
  <si>
    <t>ks</t>
  </si>
  <si>
    <t>zpěra</t>
  </si>
  <si>
    <t xml:space="preserve">sloupek </t>
  </si>
  <si>
    <t>sloupek + zpěra</t>
  </si>
  <si>
    <t>parkovací štěrkové stání vedle parkovacího stání 50m2 x 0,3 m hl</t>
  </si>
  <si>
    <t xml:space="preserve">parkovací štěrkové stání vedle parkovacího stání 50m2 </t>
  </si>
  <si>
    <t>15*1,85</t>
  </si>
  <si>
    <t>u vjezdů vpředu</t>
  </si>
  <si>
    <r>
      <t>Poplatek za uložení na recyklační skládce (skládkovné) stavebního odpadu z armovaného betonu pod kódem </t>
    </r>
    <r>
      <rPr>
        <sz val="9"/>
        <color rgb="FF000000"/>
        <rFont val="Arial"/>
        <family val="2"/>
        <charset val="238"/>
      </rPr>
      <t>17 01 01</t>
    </r>
  </si>
  <si>
    <t>Přesun hmot pro pozemní komunikace a letiště s krytem montovaným z ŽB dílců</t>
  </si>
  <si>
    <t>Příplatek k přesunu hmot pro pozemní komunikace a letiště s krytem z ŽB dílců za přesun do 1000 m</t>
  </si>
  <si>
    <t>Rozebrání zpevněných ploch ze silničních dílců</t>
  </si>
  <si>
    <t>350*0,355</t>
  </si>
  <si>
    <t>hod</t>
  </si>
  <si>
    <t>11315R</t>
  </si>
  <si>
    <t>Nakládka silničních dílců</t>
  </si>
  <si>
    <t>96605R</t>
  </si>
  <si>
    <t>silniční dílce</t>
  </si>
  <si>
    <t>panelová plocha 100m2 - silniční dílce</t>
  </si>
  <si>
    <t>ŽB základy - u vjezdů vpředu</t>
  </si>
  <si>
    <t>Přesun hmot pro demolice objektů v do 21 m</t>
  </si>
  <si>
    <t>Bourání ŽB základů</t>
  </si>
  <si>
    <r>
      <t>Pletivo</t>
    </r>
    <r>
      <rPr>
        <sz val="9"/>
        <color rgb="FF000000"/>
        <rFont val="Segoe UI"/>
        <family val="2"/>
        <charset val="238"/>
      </rPr>
      <t> čtyřhranné Zn pletené 55x55/2,0mm v 2000mm</t>
    </r>
  </si>
  <si>
    <r>
      <t>Hloubení</t>
    </r>
    <r>
      <rPr>
        <sz val="9"/>
        <color rgb="FF000000"/>
        <rFont val="Arial"/>
        <family val="2"/>
        <charset val="238"/>
      </rPr>
      <t> jamek pro sloupky, zábradlí, značky objem do 0,5 m3 v nesoudržných horninách třídy těžitelnosti I skupiny 1 a 2 ručně</t>
    </r>
  </si>
  <si>
    <t>ŽB základy plotu</t>
  </si>
  <si>
    <t>Bourání ŽB základů stávajícího oplocení</t>
  </si>
  <si>
    <r>
      <t>Obrubník zahradní</t>
    </r>
    <r>
      <rPr>
        <sz val="9"/>
        <color rgb="FF000000"/>
        <rFont val="Segoe UI"/>
        <family val="2"/>
        <charset val="238"/>
      </rPr>
      <t> betonový 1000x50x250mm</t>
    </r>
  </si>
  <si>
    <r>
      <t>Dlažba</t>
    </r>
    <r>
      <rPr>
        <sz val="11"/>
        <color rgb="FF000000"/>
        <rFont val="Segoe UI"/>
        <family val="2"/>
        <charset val="238"/>
      </rPr>
      <t> </t>
    </r>
    <r>
      <rPr>
        <sz val="9"/>
        <color rgb="FF000000"/>
        <rFont val="Arial"/>
        <family val="2"/>
        <charset val="238"/>
      </rPr>
      <t>skladebná betonová 200x200mm tl 80mm přírodní</t>
    </r>
  </si>
  <si>
    <r>
      <t>Dlažba skladebná betonová 200x100mm tl 80mm</t>
    </r>
    <r>
      <rPr>
        <sz val="11"/>
        <color rgb="FF000000"/>
        <rFont val="Segoe UI"/>
        <family val="2"/>
        <charset val="238"/>
      </rPr>
      <t> </t>
    </r>
    <r>
      <rPr>
        <sz val="9"/>
        <color rgb="FF000000"/>
        <rFont val="Arial"/>
        <family val="2"/>
        <charset val="238"/>
      </rPr>
      <t>barevná</t>
    </r>
  </si>
  <si>
    <t>hmotnost jedn</t>
  </si>
  <si>
    <t>hmotnost celkem</t>
  </si>
  <si>
    <r>
      <t>Sloupek plotový</t>
    </r>
    <r>
      <rPr>
        <sz val="11"/>
        <color rgb="FF000000"/>
        <rFont val="Segoe UI"/>
        <family val="2"/>
        <charset val="238"/>
      </rPr>
      <t> </t>
    </r>
    <r>
      <rPr>
        <sz val="9"/>
        <color rgb="FF000000"/>
        <rFont val="Arial"/>
        <family val="2"/>
        <charset val="238"/>
      </rPr>
      <t>Pz 2500/48x1,5mm</t>
    </r>
  </si>
  <si>
    <r>
      <t>Beton </t>
    </r>
    <r>
      <rPr>
        <sz val="9"/>
        <color rgb="FF000000"/>
        <rFont val="Arial"/>
        <family val="2"/>
        <charset val="238"/>
      </rPr>
      <t>C 25/30 X0 kamenivo frakce 0/8</t>
    </r>
  </si>
  <si>
    <t>Žlabovka příkopová betonová s lomenými stěnami 330x570x140mm</t>
  </si>
  <si>
    <t>prosím o jasnou specifikaci míst, ať mohu zkontrolovat výměru</t>
  </si>
  <si>
    <t>souvisí s pol. č. 11</t>
  </si>
  <si>
    <t>uvedené výměry jsem v geodetickém zaměření nedohledal..Prosím o upřesnění zdroje.</t>
  </si>
  <si>
    <t>Celkem:</t>
  </si>
  <si>
    <t>Uvedená plocha mi nevychází..</t>
  </si>
  <si>
    <t>došlo k navýšení parkovací plochy o uvedenou výměru?</t>
  </si>
  <si>
    <t>Propoj mezi komunikací a žlabem byl realizován pouze ze žulové dlažby do betonového lože</t>
  </si>
  <si>
    <t>jestli tomu dobře rozumím, proč např. zde není uvedena záporná hodnota - méněpráce?</t>
  </si>
  <si>
    <t>ok</t>
  </si>
  <si>
    <t>prosím o upřesnění níže uvedené poznámky</t>
  </si>
  <si>
    <t>pol. Č. 34 v rozpočtu k SOD, prosím o upřesněmí místa</t>
  </si>
  <si>
    <t>ok, jedná se o aktuální cenovou soustavu?</t>
  </si>
  <si>
    <t>odpovídá uvedené množství realitě?</t>
  </si>
  <si>
    <t>objemová hmotnost železobetonu je 2,4-2,5 t/m3</t>
  </si>
  <si>
    <t>prosím o doložení fotodokumentace</t>
  </si>
  <si>
    <t>kontrola uvedeného oddílu s panem Chobotským</t>
  </si>
  <si>
    <t>kontrola délky</t>
  </si>
  <si>
    <t>doplnit méněpráce</t>
  </si>
  <si>
    <t>1,5 m3</t>
  </si>
  <si>
    <t>doplnit mínusové množství ale i u ostatních SO</t>
  </si>
  <si>
    <t>jsou započítaný i přesahy, kde se dělal pouze obrus</t>
  </si>
  <si>
    <t>odkopávky pro sanaci parkoviště je započítané ve vsaku</t>
  </si>
  <si>
    <t>ok - vjezdy jsou cca 60 m2 + zpevněná plocha zahrádkáři</t>
  </si>
  <si>
    <t>navýšení pouze ve vjezdech - plocha cca 60 m2 + 96 m2 plocha pro zahrádkáře = 156</t>
  </si>
  <si>
    <t>navýšení: 156+19,4-12,5 + =48,87</t>
  </si>
  <si>
    <t>neuváděl bych, za odláždění kolem trafa</t>
  </si>
  <si>
    <t>2002-1938=64</t>
  </si>
  <si>
    <t>nelze počítat s celkovou plochou obrusdu</t>
  </si>
  <si>
    <t>nechal bych být za odláždění kolem trafa</t>
  </si>
  <si>
    <t>vjezdy jsou v geodetovu 141 m2-92,5- = 46,65 m2</t>
  </si>
  <si>
    <t>pol. 50</t>
  </si>
  <si>
    <t>geodet</t>
  </si>
  <si>
    <t>15*2,5</t>
  </si>
  <si>
    <t>Soupis méněprací / víceprací</t>
  </si>
  <si>
    <t>6*2,5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</si>
</sst>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"/>
    <numFmt numFmtId="166" formatCode="0.00000"/>
  </numFmts>
  <fonts count="29" x14ac:knownFonts="1">
    <font>
      <sz val="11"/>
      <color theme="1"/>
      <name val="Aptos Narrow"/>
      <family val="2"/>
      <charset val="238"/>
      <scheme val="minor"/>
    </font>
    <font>
      <sz val="8"/>
      <name val="Arial CE"/>
      <family val="2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003366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7"/>
      <color rgb="FF969696"/>
      <name val="Arial CE"/>
      <family val="2"/>
      <charset val="238"/>
    </font>
    <font>
      <sz val="8"/>
      <color rgb="FFFF0000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8"/>
      <color rgb="FF0000A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family val="2"/>
      <charset val="238"/>
    </font>
    <font>
      <sz val="11"/>
      <color rgb="FF000000"/>
      <name val="Segoe U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Segoe UI"/>
      <family val="2"/>
      <charset val="238"/>
    </font>
    <font>
      <sz val="9"/>
      <name val="Arial"/>
      <family val="2"/>
      <charset val="238"/>
    </font>
    <font>
      <sz val="9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1"/>
      <color theme="1"/>
      <name val="Aptos Narrow"/>
      <family val="2"/>
      <scheme val="minor"/>
    </font>
    <font>
      <b/>
      <sz val="8"/>
      <color rgb="FF505050"/>
      <name val="Arial CE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2D2D2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indexed="64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/>
      <bottom style="hair">
        <color rgb="FF969696"/>
      </bottom>
      <diagonal/>
    </border>
    <border>
      <left/>
      <right/>
      <top style="hair">
        <color rgb="FF969696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/>
    <xf numFmtId="0" fontId="8" fillId="0" borderId="2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9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165" fontId="6" fillId="0" borderId="6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5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/>
    <xf numFmtId="4" fontId="9" fillId="0" borderId="6" xfId="0" applyNumberFormat="1" applyFont="1" applyBorder="1"/>
    <xf numFmtId="165" fontId="7" fillId="0" borderId="6" xfId="0" applyNumberFormat="1" applyFont="1" applyBorder="1"/>
    <xf numFmtId="165" fontId="9" fillId="0" borderId="6" xfId="0" applyNumberFormat="1" applyFont="1" applyBorder="1"/>
    <xf numFmtId="165" fontId="0" fillId="0" borderId="0" xfId="0" applyNumberFormat="1"/>
    <xf numFmtId="4" fontId="0" fillId="0" borderId="0" xfId="0" applyNumberFormat="1"/>
    <xf numFmtId="0" fontId="8" fillId="4" borderId="0" xfId="0" applyFont="1" applyFill="1"/>
    <xf numFmtId="0" fontId="8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8" fillId="4" borderId="0" xfId="0" applyFont="1" applyFill="1" applyProtection="1">
      <protection locked="0"/>
    </xf>
    <xf numFmtId="4" fontId="10" fillId="4" borderId="0" xfId="0" applyNumberFormat="1" applyFont="1" applyFill="1"/>
    <xf numFmtId="0" fontId="0" fillId="4" borderId="0" xfId="0" applyFill="1"/>
    <xf numFmtId="0" fontId="6" fillId="0" borderId="0" xfId="0" applyFont="1" applyAlignment="1">
      <alignment horizontal="center" vertical="center" wrapText="1"/>
    </xf>
    <xf numFmtId="165" fontId="6" fillId="0" borderId="9" xfId="0" applyNumberFormat="1" applyFont="1" applyBorder="1" applyAlignment="1">
      <alignment vertical="center"/>
    </xf>
    <xf numFmtId="0" fontId="0" fillId="0" borderId="8" xfId="0" applyBorder="1"/>
    <xf numFmtId="165" fontId="0" fillId="0" borderId="8" xfId="0" applyNumberFormat="1" applyBorder="1"/>
    <xf numFmtId="4" fontId="0" fillId="0" borderId="8" xfId="0" applyNumberFormat="1" applyBorder="1"/>
    <xf numFmtId="165" fontId="11" fillId="0" borderId="8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166" fontId="0" fillId="0" borderId="0" xfId="0" applyNumberFormat="1"/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 applyProtection="1">
      <alignment vertical="center"/>
      <protection locked="0"/>
    </xf>
    <xf numFmtId="4" fontId="6" fillId="0" borderId="5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6" fillId="0" borderId="11" xfId="0" applyNumberFormat="1" applyFont="1" applyBorder="1" applyAlignment="1" applyProtection="1">
      <alignment vertical="center"/>
      <protection locked="0"/>
    </xf>
    <xf numFmtId="4" fontId="6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vertical="center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4" fontId="6" fillId="0" borderId="15" xfId="0" applyNumberFormat="1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165" fontId="14" fillId="0" borderId="15" xfId="0" applyNumberFormat="1" applyFont="1" applyBorder="1" applyAlignment="1">
      <alignment vertical="center"/>
    </xf>
    <xf numFmtId="4" fontId="14" fillId="3" borderId="15" xfId="0" applyNumberFormat="1" applyFont="1" applyFill="1" applyBorder="1" applyAlignment="1" applyProtection="1">
      <alignment vertical="center"/>
      <protection locked="0"/>
    </xf>
    <xf numFmtId="4" fontId="14" fillId="0" borderId="15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0" fontId="17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 applyProtection="1">
      <alignment vertical="center"/>
      <protection locked="0"/>
    </xf>
    <xf numFmtId="165" fontId="10" fillId="0" borderId="12" xfId="0" applyNumberFormat="1" applyFont="1" applyBorder="1"/>
    <xf numFmtId="4" fontId="10" fillId="0" borderId="12" xfId="0" applyNumberFormat="1" applyFont="1" applyBorder="1"/>
    <xf numFmtId="165" fontId="10" fillId="0" borderId="7" xfId="0" applyNumberFormat="1" applyFont="1" applyBorder="1"/>
    <xf numFmtId="165" fontId="10" fillId="4" borderId="7" xfId="0" applyNumberFormat="1" applyFont="1" applyFill="1" applyBorder="1"/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vertical="center"/>
    </xf>
    <xf numFmtId="4" fontId="6" fillId="3" borderId="16" xfId="0" applyNumberFormat="1" applyFont="1" applyFill="1" applyBorder="1" applyAlignment="1" applyProtection="1">
      <alignment vertical="center"/>
      <protection locked="0"/>
    </xf>
    <xf numFmtId="4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vertical="center"/>
    </xf>
    <xf numFmtId="4" fontId="6" fillId="3" borderId="17" xfId="0" applyNumberFormat="1" applyFont="1" applyFill="1" applyBorder="1" applyAlignment="1" applyProtection="1">
      <alignment vertical="center"/>
      <protection locked="0"/>
    </xf>
    <xf numFmtId="4" fontId="6" fillId="0" borderId="17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0" fillId="0" borderId="11" xfId="0" applyBorder="1"/>
    <xf numFmtId="165" fontId="13" fillId="0" borderId="18" xfId="0" applyNumberFormat="1" applyFont="1" applyBorder="1" applyAlignment="1">
      <alignment vertical="center"/>
    </xf>
    <xf numFmtId="4" fontId="13" fillId="0" borderId="18" xfId="0" applyNumberFormat="1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165" fontId="10" fillId="0" borderId="11" xfId="0" applyNumberFormat="1" applyFont="1" applyBorder="1"/>
    <xf numFmtId="165" fontId="10" fillId="0" borderId="0" xfId="0" applyNumberFormat="1" applyFont="1"/>
    <xf numFmtId="165" fontId="10" fillId="0" borderId="18" xfId="0" applyNumberFormat="1" applyFont="1" applyBorder="1"/>
    <xf numFmtId="4" fontId="10" fillId="0" borderId="18" xfId="0" applyNumberFormat="1" applyFont="1" applyBorder="1"/>
    <xf numFmtId="165" fontId="23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9" xfId="0" applyFont="1" applyBorder="1" applyAlignment="1">
      <alignment vertical="center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165" fontId="22" fillId="5" borderId="6" xfId="0" applyNumberFormat="1" applyFont="1" applyFill="1" applyBorder="1" applyAlignment="1">
      <alignment vertical="center"/>
    </xf>
    <xf numFmtId="4" fontId="6" fillId="5" borderId="6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65" fontId="24" fillId="0" borderId="0" xfId="0" applyNumberFormat="1" applyFont="1"/>
    <xf numFmtId="165" fontId="28" fillId="0" borderId="0" xfId="0" applyNumberFormat="1" applyFont="1" applyAlignment="1">
      <alignment vertical="center"/>
    </xf>
    <xf numFmtId="165" fontId="0" fillId="0" borderId="6" xfId="0" applyNumberFormat="1" applyBorder="1"/>
    <xf numFmtId="165" fontId="14" fillId="0" borderId="6" xfId="0" applyNumberFormat="1" applyFont="1" applyBorder="1" applyAlignment="1">
      <alignment vertical="center"/>
    </xf>
    <xf numFmtId="4" fontId="14" fillId="0" borderId="15" xfId="0" applyNumberFormat="1" applyFont="1" applyBorder="1" applyAlignment="1" applyProtection="1">
      <alignment vertical="center"/>
      <protection locked="0"/>
    </xf>
    <xf numFmtId="4" fontId="6" fillId="0" borderId="16" xfId="0" applyNumberFormat="1" applyFont="1" applyBorder="1" applyAlignment="1" applyProtection="1">
      <alignment vertical="center"/>
      <protection locked="0"/>
    </xf>
    <xf numFmtId="0" fontId="27" fillId="0" borderId="0" xfId="0" applyFont="1"/>
    <xf numFmtId="0" fontId="6" fillId="6" borderId="15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vertical="center" wrapText="1"/>
    </xf>
    <xf numFmtId="165" fontId="6" fillId="6" borderId="15" xfId="0" applyNumberFormat="1" applyFont="1" applyFill="1" applyBorder="1" applyAlignment="1">
      <alignment vertical="center"/>
    </xf>
    <xf numFmtId="4" fontId="6" fillId="7" borderId="15" xfId="0" applyNumberFormat="1" applyFont="1" applyFill="1" applyBorder="1" applyAlignment="1" applyProtection="1">
      <alignment vertical="center"/>
      <protection locked="0"/>
    </xf>
    <xf numFmtId="4" fontId="6" fillId="6" borderId="15" xfId="0" applyNumberFormat="1" applyFont="1" applyFill="1" applyBorder="1" applyAlignment="1">
      <alignment vertical="center"/>
    </xf>
    <xf numFmtId="0" fontId="0" fillId="6" borderId="0" xfId="0" applyFill="1"/>
    <xf numFmtId="165" fontId="6" fillId="6" borderId="6" xfId="0" applyNumberFormat="1" applyFont="1" applyFill="1" applyBorder="1" applyAlignment="1">
      <alignment vertical="center"/>
    </xf>
    <xf numFmtId="4" fontId="6" fillId="6" borderId="6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49" fontId="6" fillId="6" borderId="16" xfId="0" applyNumberFormat="1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center" vertical="center" wrapText="1"/>
    </xf>
    <xf numFmtId="165" fontId="6" fillId="6" borderId="16" xfId="0" applyNumberFormat="1" applyFont="1" applyFill="1" applyBorder="1" applyAlignment="1">
      <alignment vertical="center"/>
    </xf>
    <xf numFmtId="4" fontId="6" fillId="6" borderId="16" xfId="0" applyNumberFormat="1" applyFont="1" applyFill="1" applyBorder="1" applyAlignment="1" applyProtection="1">
      <alignment vertical="center"/>
      <protection locked="0"/>
    </xf>
    <xf numFmtId="4" fontId="6" fillId="6" borderId="16" xfId="0" applyNumberFormat="1" applyFont="1" applyFill="1" applyBorder="1" applyAlignment="1">
      <alignment vertical="center"/>
    </xf>
    <xf numFmtId="0" fontId="0" fillId="6" borderId="11" xfId="0" applyFill="1" applyBorder="1"/>
    <xf numFmtId="165" fontId="6" fillId="6" borderId="9" xfId="0" applyNumberFormat="1" applyFont="1" applyFill="1" applyBorder="1" applyAlignment="1">
      <alignment vertical="center"/>
    </xf>
    <xf numFmtId="165" fontId="11" fillId="6" borderId="0" xfId="0" applyNumberFormat="1" applyFont="1" applyFill="1" applyAlignment="1">
      <alignment vertical="center"/>
    </xf>
    <xf numFmtId="4" fontId="6" fillId="6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DAB6-F440-49C0-AC41-FD855E96686B}">
  <sheetPr>
    <pageSetUpPr fitToPage="1"/>
  </sheetPr>
  <dimension ref="A1:AA310"/>
  <sheetViews>
    <sheetView tabSelected="1" topLeftCell="A3" zoomScaleNormal="100" workbookViewId="0">
      <selection activeCell="AE13" sqref="AE13"/>
    </sheetView>
  </sheetViews>
  <sheetFormatPr defaultRowHeight="15" x14ac:dyDescent="0.25"/>
  <cols>
    <col min="1" max="1" width="0.7109375" customWidth="1"/>
    <col min="2" max="2" width="7.140625" customWidth="1"/>
    <col min="3" max="3" width="5" customWidth="1"/>
    <col min="4" max="4" width="10.7109375" customWidth="1"/>
    <col min="5" max="5" width="36.42578125" customWidth="1"/>
    <col min="9" max="9" width="15.5703125" customWidth="1"/>
    <col min="10" max="10" width="0" hidden="1" customWidth="1"/>
    <col min="12" max="12" width="11.140625" style="48" customWidth="1"/>
    <col min="13" max="13" width="9.140625" style="48"/>
    <col min="14" max="14" width="15.7109375" style="49" customWidth="1"/>
    <col min="15" max="15" width="3.140625" customWidth="1"/>
    <col min="16" max="16" width="15" style="64" hidden="1" customWidth="1"/>
    <col min="17" max="17" width="12.7109375" hidden="1" customWidth="1"/>
    <col min="18" max="29" width="0" hidden="1" customWidth="1"/>
  </cols>
  <sheetData>
    <row r="1" spans="1:18" ht="18" x14ac:dyDescent="0.25">
      <c r="A1" s="1"/>
      <c r="B1" s="3" t="s">
        <v>0</v>
      </c>
      <c r="C1" s="4"/>
      <c r="D1" s="4"/>
      <c r="E1" s="4"/>
      <c r="F1" s="4"/>
      <c r="G1" s="4"/>
      <c r="H1" s="4"/>
      <c r="I1" s="4"/>
      <c r="J1" s="4"/>
      <c r="K1" s="37"/>
      <c r="L1" s="38"/>
      <c r="M1" s="38"/>
      <c r="N1" s="39"/>
    </row>
    <row r="2" spans="1:18" x14ac:dyDescent="0.25">
      <c r="A2" s="2"/>
      <c r="B2" s="5" t="s">
        <v>1</v>
      </c>
      <c r="C2" s="171" t="s">
        <v>342</v>
      </c>
      <c r="D2" s="171"/>
      <c r="E2" s="171"/>
      <c r="F2" s="171"/>
      <c r="G2" s="171"/>
      <c r="H2" s="171"/>
      <c r="I2" s="171"/>
      <c r="J2" s="37"/>
      <c r="K2" s="38"/>
      <c r="L2" s="38"/>
      <c r="M2" s="38"/>
    </row>
    <row r="3" spans="1:18" x14ac:dyDescent="0.25">
      <c r="A3" s="2"/>
      <c r="B3" s="5" t="s">
        <v>2</v>
      </c>
      <c r="C3" s="168" t="s">
        <v>343</v>
      </c>
      <c r="D3" s="169"/>
      <c r="E3" s="169"/>
      <c r="F3" s="169"/>
      <c r="G3" s="4"/>
      <c r="H3" s="4"/>
      <c r="I3" s="4"/>
      <c r="J3" s="37"/>
      <c r="K3" s="38"/>
      <c r="L3" s="38"/>
      <c r="M3" s="38"/>
    </row>
    <row r="4" spans="1:18" x14ac:dyDescent="0.25">
      <c r="A4" s="2"/>
      <c r="B4" s="4"/>
      <c r="C4" s="4"/>
      <c r="D4" s="4"/>
      <c r="E4" s="4"/>
      <c r="F4" s="4"/>
      <c r="G4" s="4"/>
      <c r="H4" s="4"/>
      <c r="I4" s="4"/>
      <c r="J4" s="4"/>
      <c r="K4" s="37"/>
      <c r="L4" s="38"/>
      <c r="M4" s="38"/>
      <c r="N4" s="39"/>
    </row>
    <row r="5" spans="1:18" x14ac:dyDescent="0.25">
      <c r="A5" s="2"/>
      <c r="B5" s="5" t="s">
        <v>3</v>
      </c>
      <c r="C5" s="4"/>
      <c r="D5" s="6" t="s">
        <v>344</v>
      </c>
      <c r="E5" s="6"/>
      <c r="F5" s="4"/>
      <c r="G5" s="4"/>
      <c r="H5" s="5" t="s">
        <v>4</v>
      </c>
      <c r="I5" s="7" t="s">
        <v>345</v>
      </c>
      <c r="J5" s="4"/>
      <c r="K5" s="37"/>
      <c r="L5" s="38"/>
      <c r="M5" s="38"/>
      <c r="N5" s="39"/>
    </row>
    <row r="6" spans="1:18" x14ac:dyDescent="0.25">
      <c r="A6" s="2"/>
      <c r="B6" s="4"/>
      <c r="C6" s="4"/>
      <c r="D6" s="4"/>
      <c r="E6" s="4"/>
      <c r="F6" s="4"/>
      <c r="G6" s="4"/>
      <c r="H6" s="4"/>
      <c r="I6" s="4"/>
      <c r="J6" s="4"/>
      <c r="K6" s="37"/>
      <c r="L6" s="38"/>
      <c r="M6" s="38"/>
      <c r="N6" s="39"/>
    </row>
    <row r="7" spans="1:18" x14ac:dyDescent="0.25">
      <c r="A7" s="2"/>
      <c r="B7" s="5" t="s">
        <v>5</v>
      </c>
      <c r="C7" s="4"/>
      <c r="D7" s="6" t="s">
        <v>346</v>
      </c>
      <c r="E7" s="6"/>
      <c r="F7" s="4"/>
      <c r="G7" s="4"/>
      <c r="H7" s="5" t="s">
        <v>6</v>
      </c>
      <c r="I7" s="8" t="s">
        <v>347</v>
      </c>
      <c r="J7" s="4"/>
      <c r="K7" s="37"/>
      <c r="L7" s="38"/>
      <c r="M7" s="38"/>
      <c r="N7" s="39"/>
    </row>
    <row r="8" spans="1:18" x14ac:dyDescent="0.25">
      <c r="A8" s="2"/>
      <c r="B8" s="5" t="s">
        <v>7</v>
      </c>
      <c r="C8" s="4"/>
      <c r="D8" s="6" t="s">
        <v>348</v>
      </c>
      <c r="E8" s="6"/>
      <c r="F8" s="4"/>
      <c r="G8" s="4"/>
      <c r="H8" s="5" t="s">
        <v>8</v>
      </c>
      <c r="I8" s="8" t="s">
        <v>349</v>
      </c>
      <c r="J8" s="4"/>
      <c r="K8" s="37"/>
      <c r="L8" s="170" t="s">
        <v>447</v>
      </c>
      <c r="M8" s="170"/>
      <c r="N8" s="170"/>
    </row>
    <row r="9" spans="1:18" x14ac:dyDescent="0.25">
      <c r="A9" s="2"/>
      <c r="B9" s="4"/>
      <c r="C9" s="4"/>
      <c r="D9" s="4"/>
      <c r="E9" s="4"/>
      <c r="F9" s="4"/>
      <c r="G9" s="4"/>
      <c r="H9" s="4"/>
      <c r="I9" s="4"/>
      <c r="J9" s="4"/>
      <c r="K9" s="37"/>
      <c r="L9" s="38"/>
      <c r="M9" s="38"/>
      <c r="N9" s="39"/>
    </row>
    <row r="10" spans="1:18" ht="24" x14ac:dyDescent="0.25">
      <c r="A10" s="2"/>
      <c r="B10" s="9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1" t="s">
        <v>16</v>
      </c>
      <c r="J10" s="40" t="s">
        <v>350</v>
      </c>
      <c r="K10" s="41"/>
      <c r="L10" s="42" t="s">
        <v>351</v>
      </c>
      <c r="M10" s="42" t="s">
        <v>352</v>
      </c>
      <c r="N10" s="43" t="s">
        <v>353</v>
      </c>
      <c r="P10" s="64" t="s">
        <v>409</v>
      </c>
      <c r="Q10" t="s">
        <v>410</v>
      </c>
    </row>
    <row r="11" spans="1:18" ht="15.75" x14ac:dyDescent="0.25">
      <c r="A11" s="2"/>
      <c r="B11" s="12" t="s">
        <v>17</v>
      </c>
      <c r="C11" s="4"/>
      <c r="D11" s="4"/>
      <c r="E11" s="4"/>
      <c r="F11" s="4"/>
      <c r="G11" s="4"/>
      <c r="H11" s="4"/>
      <c r="I11" s="13">
        <f>I12</f>
        <v>7068095.1099999994</v>
      </c>
      <c r="L11" s="46"/>
      <c r="M11" s="46"/>
      <c r="N11" s="44">
        <f>N12</f>
        <v>551259.75</v>
      </c>
    </row>
    <row r="12" spans="1:18" ht="15.75" x14ac:dyDescent="0.25">
      <c r="A12" s="14"/>
      <c r="B12" s="15"/>
      <c r="C12" s="16" t="s">
        <v>18</v>
      </c>
      <c r="D12" s="17" t="s">
        <v>19</v>
      </c>
      <c r="E12" s="17" t="s">
        <v>20</v>
      </c>
      <c r="F12" s="15"/>
      <c r="G12" s="15"/>
      <c r="H12" s="18"/>
      <c r="I12" s="19">
        <f>I13+I83+I90+I162+I233+I254</f>
        <v>7068095.1099999994</v>
      </c>
      <c r="L12" s="47"/>
      <c r="M12" s="47"/>
      <c r="N12" s="45">
        <f>N13+N83+N90+N162+N233+N254+N256</f>
        <v>551259.75</v>
      </c>
    </row>
    <row r="13" spans="1:18" x14ac:dyDescent="0.25">
      <c r="A13" s="14"/>
      <c r="B13" s="15"/>
      <c r="C13" s="16" t="s">
        <v>18</v>
      </c>
      <c r="D13" s="20">
        <v>1</v>
      </c>
      <c r="E13" s="20" t="s">
        <v>22</v>
      </c>
      <c r="F13" s="15"/>
      <c r="G13" s="15"/>
      <c r="H13" s="18"/>
      <c r="I13" s="21">
        <f>SUM(I14:I82)</f>
        <v>1855617.6199999999</v>
      </c>
      <c r="L13" s="97"/>
      <c r="M13" s="97"/>
      <c r="N13" s="98">
        <f>SUM(N14:N82)</f>
        <v>-11390.76</v>
      </c>
    </row>
    <row r="14" spans="1:18" ht="36" x14ac:dyDescent="0.25">
      <c r="A14" s="2"/>
      <c r="B14" s="80" t="s">
        <v>21</v>
      </c>
      <c r="C14" s="80" t="s">
        <v>23</v>
      </c>
      <c r="D14" s="81">
        <v>111301111</v>
      </c>
      <c r="E14" s="81" t="s">
        <v>24</v>
      </c>
      <c r="F14" s="82" t="s">
        <v>25</v>
      </c>
      <c r="G14" s="83">
        <v>2810</v>
      </c>
      <c r="H14" s="84">
        <v>35</v>
      </c>
      <c r="I14" s="85">
        <f>ROUND(H14*G14,2)</f>
        <v>98350</v>
      </c>
      <c r="L14" s="22">
        <v>0</v>
      </c>
      <c r="M14" s="22">
        <f>G14+L14</f>
        <v>2810</v>
      </c>
      <c r="N14" s="23">
        <f>ROUND(L14*H14,2)</f>
        <v>0</v>
      </c>
      <c r="P14" s="64">
        <v>0</v>
      </c>
      <c r="Q14" s="64">
        <f>P14*L14</f>
        <v>0</v>
      </c>
    </row>
    <row r="15" spans="1:18" x14ac:dyDescent="0.25">
      <c r="A15" s="69"/>
      <c r="B15" s="69"/>
      <c r="C15" s="24" t="s">
        <v>26</v>
      </c>
      <c r="D15" s="70" t="s">
        <v>27</v>
      </c>
      <c r="E15" s="25" t="s">
        <v>28</v>
      </c>
      <c r="F15" s="69"/>
      <c r="G15" s="26">
        <v>2810</v>
      </c>
      <c r="H15" s="71"/>
      <c r="I15" s="69"/>
      <c r="L15" s="26"/>
      <c r="M15" s="26"/>
      <c r="N15" s="72"/>
    </row>
    <row r="16" spans="1:18" ht="24" x14ac:dyDescent="0.25">
      <c r="A16" s="2"/>
      <c r="B16" s="80" t="s">
        <v>29</v>
      </c>
      <c r="C16" s="80" t="s">
        <v>23</v>
      </c>
      <c r="D16" s="81">
        <v>112151113</v>
      </c>
      <c r="E16" s="81" t="s">
        <v>30</v>
      </c>
      <c r="F16" s="82" t="s">
        <v>31</v>
      </c>
      <c r="G16" s="83">
        <v>1</v>
      </c>
      <c r="H16" s="84">
        <v>1100</v>
      </c>
      <c r="I16" s="85">
        <f>ROUND(H16*G16,2)</f>
        <v>1100</v>
      </c>
      <c r="L16" s="134">
        <f>M16-G16</f>
        <v>-1</v>
      </c>
      <c r="M16" s="134">
        <v>0</v>
      </c>
      <c r="N16" s="135">
        <f>ROUND(L16*H16,2)</f>
        <v>-1100</v>
      </c>
      <c r="P16" s="64">
        <v>0</v>
      </c>
      <c r="Q16" s="64">
        <f>P16*L16</f>
        <v>0</v>
      </c>
      <c r="R16" t="s">
        <v>433</v>
      </c>
    </row>
    <row r="17" spans="1:17" x14ac:dyDescent="0.25">
      <c r="A17" s="69"/>
      <c r="B17" s="69"/>
      <c r="C17" s="24" t="s">
        <v>26</v>
      </c>
      <c r="D17" s="70" t="s">
        <v>32</v>
      </c>
      <c r="E17" s="25" t="s">
        <v>33</v>
      </c>
      <c r="F17" s="69"/>
      <c r="G17" s="26">
        <v>1</v>
      </c>
      <c r="H17" s="71"/>
      <c r="I17" s="69"/>
      <c r="L17" s="26"/>
      <c r="M17" s="26"/>
      <c r="N17" s="72"/>
    </row>
    <row r="18" spans="1:17" ht="36" x14ac:dyDescent="0.25">
      <c r="A18" s="2"/>
      <c r="B18" s="80" t="s">
        <v>34</v>
      </c>
      <c r="C18" s="80" t="s">
        <v>23</v>
      </c>
      <c r="D18" s="81">
        <v>112155221</v>
      </c>
      <c r="E18" s="81" t="s">
        <v>35</v>
      </c>
      <c r="F18" s="82" t="s">
        <v>31</v>
      </c>
      <c r="G18" s="83">
        <v>1</v>
      </c>
      <c r="H18" s="84">
        <v>10550</v>
      </c>
      <c r="I18" s="85">
        <f>ROUND(H18*G18,2)</f>
        <v>10550</v>
      </c>
      <c r="L18" s="134">
        <f>M18-G18</f>
        <v>-1</v>
      </c>
      <c r="M18" s="134">
        <v>0</v>
      </c>
      <c r="N18" s="135">
        <f t="shared" ref="N18:N19" si="0">ROUND(L18*H18,2)</f>
        <v>-10550</v>
      </c>
      <c r="P18" s="64">
        <v>0</v>
      </c>
      <c r="Q18" s="64">
        <f t="shared" ref="Q18:Q19" si="1">P18*L18</f>
        <v>0</v>
      </c>
    </row>
    <row r="19" spans="1:17" ht="36" x14ac:dyDescent="0.25">
      <c r="A19" s="2"/>
      <c r="B19" s="80" t="s">
        <v>36</v>
      </c>
      <c r="C19" s="80" t="s">
        <v>23</v>
      </c>
      <c r="D19" s="81">
        <v>112201113</v>
      </c>
      <c r="E19" s="81" t="s">
        <v>37</v>
      </c>
      <c r="F19" s="82" t="s">
        <v>31</v>
      </c>
      <c r="G19" s="83">
        <v>1</v>
      </c>
      <c r="H19" s="84">
        <v>1000</v>
      </c>
      <c r="I19" s="85">
        <f>ROUND(H19*G19,2)</f>
        <v>1000</v>
      </c>
      <c r="L19" s="22">
        <v>0</v>
      </c>
      <c r="M19" s="22">
        <f>G19+L19</f>
        <v>1</v>
      </c>
      <c r="N19" s="23">
        <f t="shared" si="0"/>
        <v>0</v>
      </c>
      <c r="P19" s="64">
        <v>0</v>
      </c>
      <c r="Q19" s="64">
        <f t="shared" si="1"/>
        <v>0</v>
      </c>
    </row>
    <row r="20" spans="1:17" x14ac:dyDescent="0.25">
      <c r="A20" s="69"/>
      <c r="B20" s="69"/>
      <c r="C20" s="24" t="s">
        <v>26</v>
      </c>
      <c r="D20" s="70" t="s">
        <v>32</v>
      </c>
      <c r="E20" s="25" t="s">
        <v>33</v>
      </c>
      <c r="F20" s="69"/>
      <c r="G20" s="26">
        <v>1</v>
      </c>
      <c r="H20" s="71"/>
      <c r="I20" s="69"/>
      <c r="L20" s="26"/>
      <c r="M20" s="26"/>
      <c r="N20" s="72"/>
    </row>
    <row r="21" spans="1:17" ht="36" x14ac:dyDescent="0.25">
      <c r="A21" s="2"/>
      <c r="B21" s="80" t="s">
        <v>38</v>
      </c>
      <c r="C21" s="80" t="s">
        <v>23</v>
      </c>
      <c r="D21" s="81">
        <v>113106142</v>
      </c>
      <c r="E21" s="81" t="s">
        <v>39</v>
      </c>
      <c r="F21" s="82" t="s">
        <v>25</v>
      </c>
      <c r="G21" s="83">
        <v>78</v>
      </c>
      <c r="H21" s="84">
        <v>85</v>
      </c>
      <c r="I21" s="85">
        <f>ROUND(H21*G21,2)</f>
        <v>6630</v>
      </c>
      <c r="L21" s="22">
        <v>0</v>
      </c>
      <c r="M21" s="22">
        <f>L21+G21</f>
        <v>78</v>
      </c>
      <c r="N21" s="23">
        <f>ROUND(L21*H21,2)</f>
        <v>0</v>
      </c>
      <c r="P21" s="64">
        <v>0</v>
      </c>
      <c r="Q21" s="64">
        <f>P21*L21</f>
        <v>0</v>
      </c>
    </row>
    <row r="22" spans="1:17" ht="22.5" x14ac:dyDescent="0.25">
      <c r="A22" s="69"/>
      <c r="B22" s="69"/>
      <c r="C22" s="24" t="s">
        <v>26</v>
      </c>
      <c r="D22" s="70" t="s">
        <v>32</v>
      </c>
      <c r="E22" s="25" t="s">
        <v>40</v>
      </c>
      <c r="F22" s="69"/>
      <c r="G22" s="26">
        <v>78</v>
      </c>
      <c r="H22" s="71"/>
      <c r="I22" s="69"/>
      <c r="L22" s="26"/>
      <c r="M22" s="26"/>
      <c r="N22" s="72"/>
    </row>
    <row r="23" spans="1:17" ht="24" x14ac:dyDescent="0.25">
      <c r="A23" s="2"/>
      <c r="B23" s="80" t="s">
        <v>41</v>
      </c>
      <c r="C23" s="80" t="s">
        <v>23</v>
      </c>
      <c r="D23" s="81">
        <v>113106144</v>
      </c>
      <c r="E23" s="81" t="s">
        <v>42</v>
      </c>
      <c r="F23" s="82" t="s">
        <v>25</v>
      </c>
      <c r="G23" s="83">
        <v>39</v>
      </c>
      <c r="H23" s="84">
        <v>85</v>
      </c>
      <c r="I23" s="85">
        <f>ROUND(H23*G23,2)</f>
        <v>3315</v>
      </c>
      <c r="L23" s="22">
        <v>0</v>
      </c>
      <c r="M23" s="22">
        <f>L23+G23</f>
        <v>39</v>
      </c>
      <c r="N23" s="23">
        <f>ROUND(L23*H23,2)</f>
        <v>0</v>
      </c>
      <c r="P23" s="64">
        <v>0</v>
      </c>
      <c r="Q23" s="64">
        <f>P23*L23</f>
        <v>0</v>
      </c>
    </row>
    <row r="24" spans="1:17" x14ac:dyDescent="0.25">
      <c r="A24" s="69"/>
      <c r="B24" s="69"/>
      <c r="C24" s="24" t="s">
        <v>26</v>
      </c>
      <c r="D24" s="70" t="s">
        <v>32</v>
      </c>
      <c r="E24" s="25" t="s">
        <v>43</v>
      </c>
      <c r="F24" s="69"/>
      <c r="G24" s="26">
        <v>39</v>
      </c>
      <c r="H24" s="71"/>
      <c r="I24" s="69"/>
      <c r="L24" s="26"/>
      <c r="M24" s="26"/>
      <c r="N24" s="72"/>
    </row>
    <row r="25" spans="1:17" ht="24" x14ac:dyDescent="0.25">
      <c r="A25" s="2"/>
      <c r="B25" s="80" t="s">
        <v>44</v>
      </c>
      <c r="C25" s="80" t="s">
        <v>23</v>
      </c>
      <c r="D25" s="81">
        <v>113107222</v>
      </c>
      <c r="E25" s="81" t="s">
        <v>45</v>
      </c>
      <c r="F25" s="82" t="s">
        <v>25</v>
      </c>
      <c r="G25" s="83">
        <v>2050</v>
      </c>
      <c r="H25" s="84">
        <v>65</v>
      </c>
      <c r="I25" s="85">
        <f>ROUND(H25*G25,2)</f>
        <v>133250</v>
      </c>
      <c r="L25" s="22">
        <v>0</v>
      </c>
      <c r="M25" s="22">
        <f>L25+G25</f>
        <v>2050</v>
      </c>
      <c r="N25" s="23">
        <f>ROUND(L25*H25,2)</f>
        <v>0</v>
      </c>
      <c r="P25" s="64">
        <v>0</v>
      </c>
      <c r="Q25" s="64">
        <f>P25*L25</f>
        <v>0</v>
      </c>
    </row>
    <row r="26" spans="1:17" ht="22.5" x14ac:dyDescent="0.25">
      <c r="A26" s="69"/>
      <c r="B26" s="69"/>
      <c r="C26" s="24" t="s">
        <v>26</v>
      </c>
      <c r="D26" s="70" t="s">
        <v>32</v>
      </c>
      <c r="E26" s="25" t="s">
        <v>46</v>
      </c>
      <c r="F26" s="69"/>
      <c r="G26" s="26">
        <v>595</v>
      </c>
      <c r="H26" s="71"/>
      <c r="I26" s="69"/>
      <c r="L26" s="26"/>
      <c r="M26" s="26"/>
      <c r="N26" s="72"/>
    </row>
    <row r="27" spans="1:17" ht="22.5" x14ac:dyDescent="0.25">
      <c r="A27" s="69"/>
      <c r="B27" s="69"/>
      <c r="C27" s="24" t="s">
        <v>26</v>
      </c>
      <c r="D27" s="70" t="s">
        <v>32</v>
      </c>
      <c r="E27" s="25" t="s">
        <v>47</v>
      </c>
      <c r="F27" s="69"/>
      <c r="G27" s="26">
        <v>1455</v>
      </c>
      <c r="H27" s="71"/>
      <c r="I27" s="69"/>
      <c r="L27" s="26"/>
      <c r="M27" s="26"/>
      <c r="N27" s="72"/>
    </row>
    <row r="28" spans="1:17" x14ac:dyDescent="0.25">
      <c r="A28" s="27"/>
      <c r="B28" s="28"/>
      <c r="C28" s="24" t="s">
        <v>26</v>
      </c>
      <c r="D28" s="29" t="s">
        <v>32</v>
      </c>
      <c r="E28" s="136" t="s">
        <v>48</v>
      </c>
      <c r="F28" s="28"/>
      <c r="G28" s="30">
        <v>2050</v>
      </c>
      <c r="H28" s="31"/>
      <c r="I28" s="28"/>
      <c r="L28" s="30"/>
      <c r="M28" s="117"/>
      <c r="N28" s="118"/>
    </row>
    <row r="29" spans="1:17" ht="24" x14ac:dyDescent="0.25">
      <c r="A29" s="2"/>
      <c r="B29" s="80" t="s">
        <v>49</v>
      </c>
      <c r="C29" s="80" t="s">
        <v>23</v>
      </c>
      <c r="D29" s="81">
        <v>113107242</v>
      </c>
      <c r="E29" s="81" t="s">
        <v>50</v>
      </c>
      <c r="F29" s="82" t="s">
        <v>25</v>
      </c>
      <c r="G29" s="83">
        <v>595</v>
      </c>
      <c r="H29" s="84">
        <v>55</v>
      </c>
      <c r="I29" s="85">
        <f>ROUND(H29*G29,2)</f>
        <v>32725</v>
      </c>
      <c r="L29" s="22">
        <v>0</v>
      </c>
      <c r="M29" s="22">
        <f>L29+G29</f>
        <v>595</v>
      </c>
      <c r="N29" s="23">
        <f>ROUND(L29*H29,2)</f>
        <v>0</v>
      </c>
      <c r="P29" s="64">
        <v>0</v>
      </c>
      <c r="Q29" s="64">
        <f>P29*L29</f>
        <v>0</v>
      </c>
    </row>
    <row r="30" spans="1:17" ht="22.5" x14ac:dyDescent="0.25">
      <c r="A30" s="69"/>
      <c r="B30" s="69"/>
      <c r="C30" s="24" t="s">
        <v>26</v>
      </c>
      <c r="D30" s="70" t="s">
        <v>32</v>
      </c>
      <c r="E30" s="25" t="s">
        <v>46</v>
      </c>
      <c r="F30" s="69"/>
      <c r="G30" s="26">
        <v>595</v>
      </c>
      <c r="H30" s="71"/>
      <c r="I30" s="69"/>
      <c r="L30" s="30"/>
      <c r="M30" s="26"/>
      <c r="N30" s="72"/>
    </row>
    <row r="31" spans="1:17" ht="24" x14ac:dyDescent="0.25">
      <c r="A31" s="2"/>
      <c r="B31" s="80" t="s">
        <v>51</v>
      </c>
      <c r="C31" s="80" t="s">
        <v>23</v>
      </c>
      <c r="D31" s="81">
        <v>113154113</v>
      </c>
      <c r="E31" s="81" t="s">
        <v>52</v>
      </c>
      <c r="F31" s="82" t="s">
        <v>25</v>
      </c>
      <c r="G31" s="83">
        <v>43</v>
      </c>
      <c r="H31" s="84">
        <v>85</v>
      </c>
      <c r="I31" s="85">
        <f>ROUND(H31*G31,2)</f>
        <v>3655</v>
      </c>
      <c r="L31" s="22">
        <v>0</v>
      </c>
      <c r="M31" s="22">
        <f>G31+L31</f>
        <v>43</v>
      </c>
      <c r="N31" s="23">
        <f>ROUND(L31*H31,2)</f>
        <v>0</v>
      </c>
      <c r="P31" s="64">
        <v>4.0000000000000003E-5</v>
      </c>
      <c r="Q31" s="64">
        <f>P31*L31</f>
        <v>0</v>
      </c>
    </row>
    <row r="32" spans="1:17" ht="22.5" x14ac:dyDescent="0.25">
      <c r="A32" s="69"/>
      <c r="B32" s="69"/>
      <c r="C32" s="24" t="s">
        <v>26</v>
      </c>
      <c r="D32" s="70" t="s">
        <v>32</v>
      </c>
      <c r="E32" s="25" t="s">
        <v>53</v>
      </c>
      <c r="F32" s="69"/>
      <c r="G32" s="26">
        <v>23</v>
      </c>
      <c r="H32" s="71"/>
      <c r="I32" s="69"/>
      <c r="L32" s="26"/>
      <c r="M32" s="26"/>
      <c r="N32" s="72"/>
    </row>
    <row r="33" spans="1:18" x14ac:dyDescent="0.25">
      <c r="A33" s="69"/>
      <c r="B33" s="69"/>
      <c r="C33" s="24" t="s">
        <v>26</v>
      </c>
      <c r="D33" s="70" t="s">
        <v>32</v>
      </c>
      <c r="E33" s="25" t="s">
        <v>54</v>
      </c>
      <c r="F33" s="69"/>
      <c r="G33" s="26">
        <v>20</v>
      </c>
      <c r="H33" s="71"/>
      <c r="I33" s="69"/>
      <c r="L33" s="26"/>
      <c r="M33" s="26"/>
      <c r="N33" s="72"/>
    </row>
    <row r="34" spans="1:18" x14ac:dyDescent="0.25">
      <c r="A34" s="27"/>
      <c r="B34" s="28"/>
      <c r="C34" s="24" t="s">
        <v>26</v>
      </c>
      <c r="D34" s="29" t="s">
        <v>32</v>
      </c>
      <c r="E34" s="136" t="s">
        <v>48</v>
      </c>
      <c r="F34" s="28"/>
      <c r="G34" s="30">
        <v>43</v>
      </c>
      <c r="H34" s="31"/>
      <c r="I34" s="28"/>
      <c r="L34" s="117"/>
      <c r="M34" s="117"/>
      <c r="N34" s="118"/>
    </row>
    <row r="35" spans="1:18" ht="24" x14ac:dyDescent="0.25">
      <c r="A35" s="2"/>
      <c r="B35" s="80" t="s">
        <v>55</v>
      </c>
      <c r="C35" s="80" t="s">
        <v>23</v>
      </c>
      <c r="D35" s="81">
        <v>113154114</v>
      </c>
      <c r="E35" s="81" t="s">
        <v>56</v>
      </c>
      <c r="F35" s="82" t="s">
        <v>25</v>
      </c>
      <c r="G35" s="83">
        <v>31.5</v>
      </c>
      <c r="H35" s="84">
        <v>145</v>
      </c>
      <c r="I35" s="85">
        <f>ROUND(H35*G35,2)</f>
        <v>4567.5</v>
      </c>
      <c r="L35" s="22">
        <v>0</v>
      </c>
      <c r="M35" s="22">
        <f>G35+L35</f>
        <v>31.5</v>
      </c>
      <c r="N35" s="23">
        <f>ROUND(L35*H35,2)</f>
        <v>0</v>
      </c>
      <c r="P35" s="64">
        <v>8.0000000000000007E-5</v>
      </c>
      <c r="Q35" s="64">
        <f>P35*L35</f>
        <v>0</v>
      </c>
    </row>
    <row r="36" spans="1:18" ht="22.5" x14ac:dyDescent="0.25">
      <c r="A36" s="69"/>
      <c r="B36" s="69"/>
      <c r="C36" s="24" t="s">
        <v>26</v>
      </c>
      <c r="D36" s="70" t="s">
        <v>32</v>
      </c>
      <c r="E36" s="25" t="s">
        <v>57</v>
      </c>
      <c r="F36" s="69"/>
      <c r="G36" s="26">
        <v>11.5</v>
      </c>
      <c r="H36" s="71"/>
      <c r="I36" s="69"/>
      <c r="L36" s="26"/>
      <c r="M36" s="26"/>
      <c r="N36" s="72"/>
    </row>
    <row r="37" spans="1:18" x14ac:dyDescent="0.25">
      <c r="A37" s="69"/>
      <c r="B37" s="69"/>
      <c r="C37" s="24" t="s">
        <v>26</v>
      </c>
      <c r="D37" s="70" t="s">
        <v>32</v>
      </c>
      <c r="E37" s="25" t="s">
        <v>54</v>
      </c>
      <c r="F37" s="69"/>
      <c r="G37" s="26">
        <v>20</v>
      </c>
      <c r="H37" s="71"/>
      <c r="I37" s="69"/>
      <c r="L37" s="26"/>
      <c r="M37" s="26"/>
      <c r="N37" s="72"/>
    </row>
    <row r="38" spans="1:18" x14ac:dyDescent="0.25">
      <c r="A38" s="27"/>
      <c r="B38" s="28"/>
      <c r="C38" s="24" t="s">
        <v>26</v>
      </c>
      <c r="D38" s="29" t="s">
        <v>32</v>
      </c>
      <c r="E38" s="136" t="s">
        <v>48</v>
      </c>
      <c r="F38" s="28"/>
      <c r="G38" s="30">
        <v>31.5</v>
      </c>
      <c r="H38" s="31"/>
      <c r="I38" s="28"/>
      <c r="L38" s="117"/>
      <c r="M38" s="117"/>
      <c r="N38" s="128"/>
    </row>
    <row r="39" spans="1:18" ht="36" x14ac:dyDescent="0.25">
      <c r="A39" s="2"/>
      <c r="B39" s="80" t="s">
        <v>58</v>
      </c>
      <c r="C39" s="80" t="s">
        <v>23</v>
      </c>
      <c r="D39" s="81">
        <v>122251106</v>
      </c>
      <c r="E39" s="81" t="s">
        <v>59</v>
      </c>
      <c r="F39" s="82" t="s">
        <v>60</v>
      </c>
      <c r="G39" s="83">
        <v>1589.145</v>
      </c>
      <c r="H39" s="84">
        <v>220</v>
      </c>
      <c r="I39" s="85">
        <f>ROUND(H39*G39,2)</f>
        <v>349611.9</v>
      </c>
      <c r="L39" s="22">
        <f>M39-G39</f>
        <v>54.005000000000109</v>
      </c>
      <c r="M39" s="22">
        <f>G40+G41+L42+G43+G44+G45+G46+G47</f>
        <v>1643.15</v>
      </c>
      <c r="N39" s="23">
        <f>ROUND(L39*H39,2)</f>
        <v>11881.1</v>
      </c>
      <c r="P39" s="64">
        <v>0</v>
      </c>
      <c r="Q39" s="64">
        <f>P39*L39</f>
        <v>0</v>
      </c>
      <c r="R39" s="131" t="s">
        <v>414</v>
      </c>
    </row>
    <row r="40" spans="1:18" x14ac:dyDescent="0.25">
      <c r="A40" s="69"/>
      <c r="B40" s="69"/>
      <c r="C40" s="24" t="s">
        <v>26</v>
      </c>
      <c r="D40" s="70" t="s">
        <v>32</v>
      </c>
      <c r="E40" s="25" t="s">
        <v>61</v>
      </c>
      <c r="F40" s="69"/>
      <c r="G40" s="26">
        <v>1154</v>
      </c>
      <c r="H40" s="71"/>
      <c r="I40" s="69"/>
      <c r="L40" s="26"/>
      <c r="M40" s="26"/>
      <c r="N40" s="72"/>
      <c r="R40" t="s">
        <v>437</v>
      </c>
    </row>
    <row r="41" spans="1:18" x14ac:dyDescent="0.25">
      <c r="A41" s="69"/>
      <c r="B41" s="69"/>
      <c r="C41" s="24" t="s">
        <v>26</v>
      </c>
      <c r="D41" s="70" t="s">
        <v>32</v>
      </c>
      <c r="E41" s="25" t="s">
        <v>62</v>
      </c>
      <c r="F41" s="69"/>
      <c r="G41" s="26">
        <v>5.32</v>
      </c>
      <c r="H41" s="71"/>
      <c r="I41" s="69"/>
      <c r="L41" s="26"/>
      <c r="M41" s="26"/>
      <c r="N41" s="72"/>
      <c r="R41" t="s">
        <v>438</v>
      </c>
    </row>
    <row r="42" spans="1:18" ht="33.75" x14ac:dyDescent="0.25">
      <c r="A42" s="69"/>
      <c r="B42" s="69"/>
      <c r="C42" s="24" t="s">
        <v>26</v>
      </c>
      <c r="D42" s="70" t="s">
        <v>32</v>
      </c>
      <c r="E42" s="25" t="s">
        <v>63</v>
      </c>
      <c r="F42" s="69"/>
      <c r="G42" s="26">
        <v>1176.8050000000001</v>
      </c>
      <c r="H42" s="71"/>
      <c r="I42" s="69"/>
      <c r="L42" s="30">
        <f>(L111+L113)*0.5+(L137+G138+L149+L157)*0.3</f>
        <v>1230.81</v>
      </c>
      <c r="M42" s="26"/>
      <c r="N42" s="72"/>
      <c r="R42" s="131" t="s">
        <v>416</v>
      </c>
    </row>
    <row r="43" spans="1:18" ht="22.5" x14ac:dyDescent="0.25">
      <c r="A43" s="69"/>
      <c r="B43" s="69"/>
      <c r="C43" s="24" t="s">
        <v>26</v>
      </c>
      <c r="D43" s="70" t="s">
        <v>32</v>
      </c>
      <c r="E43" s="25" t="s">
        <v>64</v>
      </c>
      <c r="F43" s="69"/>
      <c r="G43" s="26">
        <v>-178.5</v>
      </c>
      <c r="H43" s="71"/>
      <c r="I43" s="69"/>
      <c r="L43" s="26"/>
      <c r="M43" s="26"/>
      <c r="N43" s="72"/>
      <c r="R43" s="133" t="s">
        <v>435</v>
      </c>
    </row>
    <row r="44" spans="1:18" ht="22.5" x14ac:dyDescent="0.25">
      <c r="A44" s="69"/>
      <c r="B44" s="69"/>
      <c r="C44" s="24" t="s">
        <v>26</v>
      </c>
      <c r="D44" s="70" t="s">
        <v>32</v>
      </c>
      <c r="E44" s="25" t="s">
        <v>65</v>
      </c>
      <c r="F44" s="69"/>
      <c r="G44" s="26">
        <v>-275</v>
      </c>
      <c r="H44" s="71"/>
      <c r="I44" s="69"/>
      <c r="L44" s="26"/>
      <c r="M44" s="26"/>
      <c r="N44" s="72"/>
      <c r="R44" s="48"/>
    </row>
    <row r="45" spans="1:18" ht="22.5" x14ac:dyDescent="0.25">
      <c r="A45" s="69"/>
      <c r="B45" s="69"/>
      <c r="C45" s="24" t="s">
        <v>26</v>
      </c>
      <c r="D45" s="70" t="s">
        <v>32</v>
      </c>
      <c r="E45" s="25" t="s">
        <v>66</v>
      </c>
      <c r="F45" s="69"/>
      <c r="G45" s="26">
        <v>-7.8</v>
      </c>
      <c r="H45" s="71"/>
      <c r="I45" s="69"/>
      <c r="L45" s="26"/>
      <c r="M45" s="26"/>
      <c r="N45" s="72"/>
    </row>
    <row r="46" spans="1:18" x14ac:dyDescent="0.25">
      <c r="A46" s="69"/>
      <c r="B46" s="69"/>
      <c r="C46" s="24" t="s">
        <v>26</v>
      </c>
      <c r="D46" s="70" t="s">
        <v>32</v>
      </c>
      <c r="E46" s="25" t="s">
        <v>67</v>
      </c>
      <c r="F46" s="69"/>
      <c r="G46" s="26">
        <v>-4.68</v>
      </c>
      <c r="H46" s="71"/>
      <c r="I46" s="69"/>
      <c r="L46" s="26"/>
      <c r="M46" s="26"/>
      <c r="N46" s="72"/>
    </row>
    <row r="47" spans="1:18" x14ac:dyDescent="0.25">
      <c r="A47" s="69"/>
      <c r="B47" s="69"/>
      <c r="C47" s="24" t="s">
        <v>26</v>
      </c>
      <c r="D47" s="70" t="s">
        <v>32</v>
      </c>
      <c r="E47" s="25" t="s">
        <v>68</v>
      </c>
      <c r="F47" s="69"/>
      <c r="G47" s="26">
        <v>-281</v>
      </c>
      <c r="H47" s="71"/>
      <c r="I47" s="69"/>
      <c r="L47" s="26"/>
      <c r="M47" s="26"/>
      <c r="N47" s="72"/>
    </row>
    <row r="48" spans="1:18" x14ac:dyDescent="0.25">
      <c r="A48" s="27"/>
      <c r="B48" s="28"/>
      <c r="C48" s="24" t="s">
        <v>26</v>
      </c>
      <c r="D48" s="29" t="s">
        <v>69</v>
      </c>
      <c r="E48" s="136" t="s">
        <v>48</v>
      </c>
      <c r="F48" s="28"/>
      <c r="G48" s="30">
        <v>1589.145</v>
      </c>
      <c r="H48" s="31"/>
      <c r="I48" s="28"/>
      <c r="L48" s="117"/>
      <c r="M48" s="117"/>
      <c r="N48" s="118"/>
    </row>
    <row r="49" spans="1:18" ht="36" x14ac:dyDescent="0.25">
      <c r="A49" s="2"/>
      <c r="B49" s="80" t="s">
        <v>70</v>
      </c>
      <c r="C49" s="80" t="s">
        <v>23</v>
      </c>
      <c r="D49" s="81">
        <v>132251103</v>
      </c>
      <c r="E49" s="81" t="s">
        <v>71</v>
      </c>
      <c r="F49" s="82" t="s">
        <v>60</v>
      </c>
      <c r="G49" s="83">
        <v>47.1</v>
      </c>
      <c r="H49" s="84">
        <v>220</v>
      </c>
      <c r="I49" s="85">
        <f>ROUND(H49*G49,2)</f>
        <v>10362</v>
      </c>
      <c r="L49" s="22">
        <v>0</v>
      </c>
      <c r="M49" s="22">
        <f>L49+G49</f>
        <v>47.1</v>
      </c>
      <c r="N49" s="23">
        <f>ROUND(L49*H49,2)</f>
        <v>0</v>
      </c>
      <c r="P49" s="64">
        <v>0</v>
      </c>
      <c r="Q49" s="64">
        <f>P49*L49</f>
        <v>0</v>
      </c>
    </row>
    <row r="50" spans="1:18" x14ac:dyDescent="0.25">
      <c r="A50" s="69"/>
      <c r="B50" s="69"/>
      <c r="C50" s="24" t="s">
        <v>26</v>
      </c>
      <c r="D50" s="70" t="s">
        <v>72</v>
      </c>
      <c r="E50" s="25" t="s">
        <v>73</v>
      </c>
      <c r="F50" s="69"/>
      <c r="G50" s="26">
        <v>47.1</v>
      </c>
      <c r="H50" s="71"/>
      <c r="I50" s="69"/>
      <c r="L50" s="26"/>
      <c r="M50" s="26"/>
      <c r="N50" s="72"/>
    </row>
    <row r="51" spans="1:18" ht="36" x14ac:dyDescent="0.25">
      <c r="A51" s="2"/>
      <c r="B51" s="80" t="s">
        <v>74</v>
      </c>
      <c r="C51" s="80" t="s">
        <v>23</v>
      </c>
      <c r="D51" s="81">
        <v>162201412</v>
      </c>
      <c r="E51" s="81" t="s">
        <v>75</v>
      </c>
      <c r="F51" s="82" t="s">
        <v>31</v>
      </c>
      <c r="G51" s="83">
        <v>1</v>
      </c>
      <c r="H51" s="84">
        <v>400</v>
      </c>
      <c r="I51" s="85">
        <f>ROUND(H51*G51,2)</f>
        <v>400</v>
      </c>
      <c r="L51" s="134">
        <f>M51-G51</f>
        <v>-1</v>
      </c>
      <c r="M51" s="134">
        <v>0</v>
      </c>
      <c r="N51" s="135">
        <f t="shared" ref="N51:N53" si="2">ROUND(L51*H51,2)</f>
        <v>-400</v>
      </c>
      <c r="P51" s="64">
        <v>0</v>
      </c>
      <c r="Q51" s="64">
        <f t="shared" ref="Q51:Q53" si="3">P51*L51</f>
        <v>0</v>
      </c>
    </row>
    <row r="52" spans="1:18" ht="24" x14ac:dyDescent="0.25">
      <c r="A52" s="2"/>
      <c r="B52" s="80" t="s">
        <v>76</v>
      </c>
      <c r="C52" s="80" t="s">
        <v>23</v>
      </c>
      <c r="D52" s="81">
        <v>162201422</v>
      </c>
      <c r="E52" s="81" t="s">
        <v>77</v>
      </c>
      <c r="F52" s="82" t="s">
        <v>31</v>
      </c>
      <c r="G52" s="83">
        <v>1</v>
      </c>
      <c r="H52" s="84">
        <v>400</v>
      </c>
      <c r="I52" s="85">
        <f>ROUND(H52*G52,2)</f>
        <v>400</v>
      </c>
      <c r="L52" s="22">
        <v>0</v>
      </c>
      <c r="M52" s="22">
        <f>G52+L52</f>
        <v>1</v>
      </c>
      <c r="N52" s="23">
        <f t="shared" si="2"/>
        <v>0</v>
      </c>
      <c r="P52" s="64">
        <v>0</v>
      </c>
      <c r="Q52" s="64">
        <f t="shared" si="3"/>
        <v>0</v>
      </c>
    </row>
    <row r="53" spans="1:18" ht="36" x14ac:dyDescent="0.25">
      <c r="A53" s="2"/>
      <c r="B53" s="80" t="s">
        <v>78</v>
      </c>
      <c r="C53" s="80" t="s">
        <v>23</v>
      </c>
      <c r="D53" s="81">
        <v>162301952</v>
      </c>
      <c r="E53" s="81" t="s">
        <v>79</v>
      </c>
      <c r="F53" s="82" t="s">
        <v>31</v>
      </c>
      <c r="G53" s="83">
        <v>9</v>
      </c>
      <c r="H53" s="84">
        <v>90</v>
      </c>
      <c r="I53" s="85">
        <f>ROUND(H53*G53,2)</f>
        <v>810</v>
      </c>
      <c r="L53" s="134">
        <f>M53-G53</f>
        <v>-9</v>
      </c>
      <c r="M53" s="134">
        <v>0</v>
      </c>
      <c r="N53" s="135">
        <f t="shared" si="2"/>
        <v>-810</v>
      </c>
      <c r="P53" s="64">
        <v>0</v>
      </c>
      <c r="Q53" s="64">
        <f t="shared" si="3"/>
        <v>0</v>
      </c>
    </row>
    <row r="54" spans="1:18" x14ac:dyDescent="0.25">
      <c r="A54" s="69"/>
      <c r="B54" s="69"/>
      <c r="C54" s="24" t="s">
        <v>26</v>
      </c>
      <c r="D54" s="70" t="s">
        <v>32</v>
      </c>
      <c r="E54" s="25" t="s">
        <v>80</v>
      </c>
      <c r="F54" s="69"/>
      <c r="G54" s="26">
        <v>9</v>
      </c>
      <c r="H54" s="71"/>
      <c r="I54" s="69"/>
      <c r="L54" s="26"/>
      <c r="M54" s="26"/>
      <c r="N54" s="72"/>
    </row>
    <row r="55" spans="1:18" ht="24" x14ac:dyDescent="0.25">
      <c r="A55" s="2"/>
      <c r="B55" s="80" t="s">
        <v>81</v>
      </c>
      <c r="C55" s="80" t="s">
        <v>23</v>
      </c>
      <c r="D55" s="81">
        <v>162301972</v>
      </c>
      <c r="E55" s="81" t="s">
        <v>82</v>
      </c>
      <c r="F55" s="82" t="s">
        <v>31</v>
      </c>
      <c r="G55" s="83">
        <v>9</v>
      </c>
      <c r="H55" s="84">
        <v>90</v>
      </c>
      <c r="I55" s="85">
        <f>ROUND(H55*G55,2)</f>
        <v>810</v>
      </c>
      <c r="L55" s="22">
        <v>0</v>
      </c>
      <c r="M55" s="22">
        <f>G55+L55</f>
        <v>9</v>
      </c>
      <c r="N55" s="23">
        <f>ROUND(L55*H55,2)</f>
        <v>0</v>
      </c>
      <c r="P55" s="64">
        <v>0</v>
      </c>
      <c r="Q55" s="64">
        <f>P55*L55</f>
        <v>0</v>
      </c>
    </row>
    <row r="56" spans="1:18" x14ac:dyDescent="0.25">
      <c r="A56" s="69"/>
      <c r="B56" s="69"/>
      <c r="C56" s="24" t="s">
        <v>26</v>
      </c>
      <c r="D56" s="70" t="s">
        <v>32</v>
      </c>
      <c r="E56" s="25" t="s">
        <v>80</v>
      </c>
      <c r="F56" s="69"/>
      <c r="G56" s="26">
        <v>9</v>
      </c>
      <c r="H56" s="71"/>
      <c r="I56" s="69"/>
      <c r="L56" s="26"/>
      <c r="M56" s="26"/>
      <c r="N56" s="72"/>
    </row>
    <row r="57" spans="1:18" ht="36" x14ac:dyDescent="0.25">
      <c r="A57" s="2"/>
      <c r="B57" s="80" t="s">
        <v>83</v>
      </c>
      <c r="C57" s="80" t="s">
        <v>23</v>
      </c>
      <c r="D57" s="81">
        <v>162751117</v>
      </c>
      <c r="E57" s="81" t="s">
        <v>84</v>
      </c>
      <c r="F57" s="82" t="s">
        <v>60</v>
      </c>
      <c r="G57" s="83">
        <v>1890.7449999999999</v>
      </c>
      <c r="H57" s="84">
        <v>125</v>
      </c>
      <c r="I57" s="85">
        <f>ROUND(H57*G57,2)</f>
        <v>236343.13</v>
      </c>
      <c r="L57" s="22">
        <f>M57-G57</f>
        <v>54.005000000000109</v>
      </c>
      <c r="M57" s="22">
        <f>L58</f>
        <v>1944.75</v>
      </c>
      <c r="N57" s="23">
        <f>ROUND(L57*H57,2)</f>
        <v>6750.63</v>
      </c>
      <c r="P57" s="64">
        <v>0</v>
      </c>
      <c r="Q57" s="64">
        <f>P57*L57</f>
        <v>0</v>
      </c>
      <c r="R57" s="131" t="s">
        <v>415</v>
      </c>
    </row>
    <row r="58" spans="1:18" x14ac:dyDescent="0.25">
      <c r="A58" s="69"/>
      <c r="B58" s="69"/>
      <c r="C58" s="24" t="s">
        <v>26</v>
      </c>
      <c r="D58" s="70" t="s">
        <v>85</v>
      </c>
      <c r="E58" s="25" t="s">
        <v>86</v>
      </c>
      <c r="F58" s="69"/>
      <c r="G58" s="26">
        <v>1890.7449999999999</v>
      </c>
      <c r="H58" s="71"/>
      <c r="I58" s="69"/>
      <c r="L58" s="30">
        <f>M39+G14*0.1+G49-G59</f>
        <v>1944.75</v>
      </c>
      <c r="M58" s="26"/>
      <c r="N58" s="72"/>
    </row>
    <row r="59" spans="1:18" ht="24" x14ac:dyDescent="0.25">
      <c r="A59" s="2"/>
      <c r="B59" s="80" t="s">
        <v>87</v>
      </c>
      <c r="C59" s="80" t="s">
        <v>23</v>
      </c>
      <c r="D59" s="81">
        <v>171151103</v>
      </c>
      <c r="E59" s="81" t="s">
        <v>88</v>
      </c>
      <c r="F59" s="82" t="s">
        <v>60</v>
      </c>
      <c r="G59" s="83">
        <v>26.5</v>
      </c>
      <c r="H59" s="84">
        <v>125</v>
      </c>
      <c r="I59" s="85">
        <f>ROUND(H59*G59,2)</f>
        <v>3312.5</v>
      </c>
      <c r="L59" s="22">
        <v>0</v>
      </c>
      <c r="M59" s="22">
        <f>G59+L59</f>
        <v>26.5</v>
      </c>
      <c r="N59" s="23">
        <f>ROUND(L59*H59,2)</f>
        <v>0</v>
      </c>
      <c r="P59" s="64">
        <v>0</v>
      </c>
      <c r="Q59" s="64">
        <f>P59*L59</f>
        <v>0</v>
      </c>
    </row>
    <row r="60" spans="1:18" x14ac:dyDescent="0.25">
      <c r="A60" s="69"/>
      <c r="B60" s="69"/>
      <c r="C60" s="24" t="s">
        <v>26</v>
      </c>
      <c r="D60" s="70" t="s">
        <v>89</v>
      </c>
      <c r="E60" s="25" t="s">
        <v>90</v>
      </c>
      <c r="F60" s="69"/>
      <c r="G60" s="26">
        <v>26.5</v>
      </c>
      <c r="H60" s="71"/>
      <c r="I60" s="69"/>
      <c r="L60" s="26"/>
      <c r="M60" s="26"/>
      <c r="N60" s="72"/>
    </row>
    <row r="61" spans="1:18" ht="24" x14ac:dyDescent="0.25">
      <c r="A61" s="2"/>
      <c r="B61" s="80" t="s">
        <v>91</v>
      </c>
      <c r="C61" s="80" t="s">
        <v>23</v>
      </c>
      <c r="D61" s="81">
        <v>171201221</v>
      </c>
      <c r="E61" s="81" t="s">
        <v>92</v>
      </c>
      <c r="F61" s="82" t="s">
        <v>93</v>
      </c>
      <c r="G61" s="83">
        <v>3497.8780000000002</v>
      </c>
      <c r="H61" s="84">
        <v>140</v>
      </c>
      <c r="I61" s="85">
        <f>ROUND(H61*G61,2)</f>
        <v>489702.92</v>
      </c>
      <c r="L61" s="22">
        <f>M61-G61</f>
        <v>99.909500000000207</v>
      </c>
      <c r="M61" s="22">
        <f>L62</f>
        <v>3597.7875000000004</v>
      </c>
      <c r="N61" s="23">
        <f>ROUND(L61*H61,2)</f>
        <v>13987.33</v>
      </c>
      <c r="P61" s="64">
        <v>0</v>
      </c>
      <c r="Q61" s="64">
        <f>P61*L61</f>
        <v>0</v>
      </c>
      <c r="R61" s="131" t="s">
        <v>415</v>
      </c>
    </row>
    <row r="62" spans="1:18" x14ac:dyDescent="0.25">
      <c r="A62" s="69"/>
      <c r="B62" s="69"/>
      <c r="C62" s="24" t="s">
        <v>26</v>
      </c>
      <c r="D62" s="70" t="s">
        <v>32</v>
      </c>
      <c r="E62" s="25" t="s">
        <v>94</v>
      </c>
      <c r="F62" s="69"/>
      <c r="G62" s="26">
        <v>3497.8780000000002</v>
      </c>
      <c r="H62" s="71"/>
      <c r="I62" s="69"/>
      <c r="L62" s="30">
        <f>L64*1.85</f>
        <v>3597.7875000000004</v>
      </c>
      <c r="M62" s="26"/>
      <c r="N62" s="72"/>
    </row>
    <row r="63" spans="1:18" ht="24" x14ac:dyDescent="0.25">
      <c r="A63" s="2"/>
      <c r="B63" s="80" t="s">
        <v>95</v>
      </c>
      <c r="C63" s="80" t="s">
        <v>23</v>
      </c>
      <c r="D63" s="81">
        <v>171251201</v>
      </c>
      <c r="E63" s="81" t="s">
        <v>96</v>
      </c>
      <c r="F63" s="82" t="s">
        <v>60</v>
      </c>
      <c r="G63" s="83">
        <v>1890.7449999999999</v>
      </c>
      <c r="H63" s="84">
        <v>28</v>
      </c>
      <c r="I63" s="85">
        <f>ROUND(H63*G63,2)</f>
        <v>52940.86</v>
      </c>
      <c r="L63" s="22">
        <f>M63-G63</f>
        <v>54.005000000000109</v>
      </c>
      <c r="M63" s="22">
        <f>L64</f>
        <v>1944.75</v>
      </c>
      <c r="N63" s="23">
        <f>ROUND(L63*H63,2)</f>
        <v>1512.14</v>
      </c>
      <c r="P63" s="64">
        <v>0</v>
      </c>
      <c r="Q63" s="64">
        <f>P63*L63</f>
        <v>0</v>
      </c>
      <c r="R63" s="131" t="s">
        <v>415</v>
      </c>
    </row>
    <row r="64" spans="1:18" x14ac:dyDescent="0.25">
      <c r="A64" s="69"/>
      <c r="B64" s="69"/>
      <c r="C64" s="24" t="s">
        <v>26</v>
      </c>
      <c r="D64" s="70" t="s">
        <v>32</v>
      </c>
      <c r="E64" s="25" t="s">
        <v>85</v>
      </c>
      <c r="F64" s="69"/>
      <c r="G64" s="26">
        <v>1890.7449999999999</v>
      </c>
      <c r="H64" s="71"/>
      <c r="I64" s="69"/>
      <c r="L64" s="30">
        <f>L58</f>
        <v>1944.75</v>
      </c>
      <c r="M64" s="26"/>
      <c r="N64" s="72"/>
    </row>
    <row r="65" spans="1:17" ht="36" x14ac:dyDescent="0.25">
      <c r="A65" s="2"/>
      <c r="B65" s="80" t="s">
        <v>97</v>
      </c>
      <c r="C65" s="80" t="s">
        <v>23</v>
      </c>
      <c r="D65" s="81">
        <v>181351113</v>
      </c>
      <c r="E65" s="81" t="s">
        <v>98</v>
      </c>
      <c r="F65" s="82" t="s">
        <v>25</v>
      </c>
      <c r="G65" s="83">
        <v>1765.5</v>
      </c>
      <c r="H65" s="84">
        <v>17</v>
      </c>
      <c r="I65" s="85">
        <f>ROUND(H65*G65,2)</f>
        <v>30013.5</v>
      </c>
      <c r="L65" s="22">
        <v>0</v>
      </c>
      <c r="M65" s="22">
        <f>L65+G65</f>
        <v>1765.5</v>
      </c>
      <c r="N65" s="23">
        <f>ROUND(L65*H65,2)</f>
        <v>0</v>
      </c>
      <c r="P65" s="64">
        <v>0</v>
      </c>
      <c r="Q65" s="64">
        <f>P65*L65</f>
        <v>0</v>
      </c>
    </row>
    <row r="66" spans="1:17" ht="33.75" x14ac:dyDescent="0.25">
      <c r="A66" s="69"/>
      <c r="B66" s="69"/>
      <c r="C66" s="24" t="s">
        <v>26</v>
      </c>
      <c r="D66" s="70" t="s">
        <v>99</v>
      </c>
      <c r="E66" s="25" t="s">
        <v>100</v>
      </c>
      <c r="F66" s="69"/>
      <c r="G66" s="26">
        <v>1765.5</v>
      </c>
      <c r="H66" s="71"/>
      <c r="I66" s="69"/>
      <c r="L66" s="26"/>
      <c r="M66" s="26"/>
      <c r="N66" s="72"/>
    </row>
    <row r="67" spans="1:17" x14ac:dyDescent="0.25">
      <c r="A67" s="2"/>
      <c r="B67" s="86" t="s">
        <v>101</v>
      </c>
      <c r="C67" s="86" t="s">
        <v>102</v>
      </c>
      <c r="D67" s="87">
        <v>10364101</v>
      </c>
      <c r="E67" s="87" t="s">
        <v>103</v>
      </c>
      <c r="F67" s="88" t="s">
        <v>93</v>
      </c>
      <c r="G67" s="89">
        <v>489.92599999999999</v>
      </c>
      <c r="H67" s="90">
        <v>400</v>
      </c>
      <c r="I67" s="91">
        <f>ROUND(H67*G67,2)</f>
        <v>195970.4</v>
      </c>
      <c r="L67" s="22">
        <v>0</v>
      </c>
      <c r="M67" s="22">
        <f>L67+G67</f>
        <v>489.92599999999999</v>
      </c>
      <c r="N67" s="23">
        <f>ROUND(L67*H67,2)</f>
        <v>0</v>
      </c>
      <c r="P67" s="64">
        <v>1</v>
      </c>
      <c r="Q67" s="64">
        <f>P67*L67</f>
        <v>0</v>
      </c>
    </row>
    <row r="68" spans="1:17" ht="22.5" x14ac:dyDescent="0.25">
      <c r="A68" s="69"/>
      <c r="B68" s="69"/>
      <c r="C68" s="24" t="s">
        <v>26</v>
      </c>
      <c r="D68" s="70" t="s">
        <v>32</v>
      </c>
      <c r="E68" s="25" t="s">
        <v>104</v>
      </c>
      <c r="F68" s="69"/>
      <c r="G68" s="26">
        <v>489.92599999999999</v>
      </c>
      <c r="H68" s="71"/>
      <c r="I68" s="69"/>
      <c r="L68" s="26"/>
      <c r="M68" s="26"/>
      <c r="N68" s="72"/>
    </row>
    <row r="69" spans="1:17" ht="24" x14ac:dyDescent="0.25">
      <c r="A69" s="2"/>
      <c r="B69" s="80" t="s">
        <v>105</v>
      </c>
      <c r="C69" s="80" t="s">
        <v>23</v>
      </c>
      <c r="D69" s="81">
        <v>181451131</v>
      </c>
      <c r="E69" s="81" t="s">
        <v>106</v>
      </c>
      <c r="F69" s="82" t="s">
        <v>25</v>
      </c>
      <c r="G69" s="83">
        <v>1765.5</v>
      </c>
      <c r="H69" s="84">
        <v>21</v>
      </c>
      <c r="I69" s="85">
        <f>ROUND(H69*G69,2)</f>
        <v>37075.5</v>
      </c>
      <c r="L69" s="22">
        <v>0</v>
      </c>
      <c r="M69" s="22">
        <f>L69+G69</f>
        <v>1765.5</v>
      </c>
      <c r="N69" s="23">
        <f>ROUND(L69*H69,2)</f>
        <v>0</v>
      </c>
      <c r="P69" s="64">
        <v>0</v>
      </c>
      <c r="Q69" s="64">
        <f>P69*L69</f>
        <v>0</v>
      </c>
    </row>
    <row r="70" spans="1:17" x14ac:dyDescent="0.25">
      <c r="A70" s="69"/>
      <c r="B70" s="69"/>
      <c r="C70" s="24" t="s">
        <v>26</v>
      </c>
      <c r="D70" s="70" t="s">
        <v>32</v>
      </c>
      <c r="E70" s="25" t="s">
        <v>107</v>
      </c>
      <c r="F70" s="69"/>
      <c r="G70" s="26">
        <v>1765.5</v>
      </c>
      <c r="H70" s="71"/>
      <c r="I70" s="69"/>
      <c r="L70" s="26"/>
      <c r="M70" s="26"/>
      <c r="N70" s="72"/>
    </row>
    <row r="71" spans="1:17" x14ac:dyDescent="0.25">
      <c r="A71" s="2"/>
      <c r="B71" s="86" t="s">
        <v>108</v>
      </c>
      <c r="C71" s="86" t="s">
        <v>102</v>
      </c>
      <c r="D71" s="87">
        <v>572410</v>
      </c>
      <c r="E71" s="87" t="s">
        <v>109</v>
      </c>
      <c r="F71" s="88" t="s">
        <v>110</v>
      </c>
      <c r="G71" s="89">
        <v>52.965000000000003</v>
      </c>
      <c r="H71" s="90">
        <v>450</v>
      </c>
      <c r="I71" s="91">
        <f>ROUND(H71*G71,2)</f>
        <v>23834.25</v>
      </c>
      <c r="L71" s="22">
        <v>0</v>
      </c>
      <c r="M71" s="22">
        <f>L71+G71</f>
        <v>52.965000000000003</v>
      </c>
      <c r="N71" s="23">
        <f>ROUND(L71*H71,2)</f>
        <v>0</v>
      </c>
      <c r="P71" s="64">
        <v>1E-3</v>
      </c>
      <c r="Q71" s="64">
        <f>P71*L71</f>
        <v>0</v>
      </c>
    </row>
    <row r="72" spans="1:17" ht="22.5" x14ac:dyDescent="0.25">
      <c r="A72" s="69"/>
      <c r="B72" s="69"/>
      <c r="C72" s="24" t="s">
        <v>26</v>
      </c>
      <c r="D72" s="70" t="s">
        <v>32</v>
      </c>
      <c r="E72" s="25" t="s">
        <v>111</v>
      </c>
      <c r="F72" s="69"/>
      <c r="G72" s="26">
        <v>52.965000000000003</v>
      </c>
      <c r="H72" s="71"/>
      <c r="I72" s="69"/>
      <c r="L72" s="26"/>
      <c r="M72" s="26"/>
      <c r="N72" s="72"/>
    </row>
    <row r="73" spans="1:17" ht="24" x14ac:dyDescent="0.25">
      <c r="A73" s="2"/>
      <c r="B73" s="80" t="s">
        <v>112</v>
      </c>
      <c r="C73" s="80" t="s">
        <v>23</v>
      </c>
      <c r="D73" s="81">
        <v>181951112</v>
      </c>
      <c r="E73" s="81" t="s">
        <v>113</v>
      </c>
      <c r="F73" s="82" t="s">
        <v>25</v>
      </c>
      <c r="G73" s="83">
        <v>2672.95</v>
      </c>
      <c r="H73" s="84">
        <v>36</v>
      </c>
      <c r="I73" s="85">
        <f>ROUND(H73*G73,2)</f>
        <v>96226.2</v>
      </c>
      <c r="L73" s="22">
        <v>0</v>
      </c>
      <c r="M73" s="22">
        <f>L73+G73</f>
        <v>2672.95</v>
      </c>
      <c r="N73" s="23">
        <f>ROUND(L73*H73,2)</f>
        <v>0</v>
      </c>
      <c r="P73" s="64">
        <v>0</v>
      </c>
      <c r="Q73" s="64">
        <f>P73*L73</f>
        <v>0</v>
      </c>
    </row>
    <row r="74" spans="1:17" ht="22.5" x14ac:dyDescent="0.25">
      <c r="A74" s="69"/>
      <c r="B74" s="69"/>
      <c r="C74" s="24" t="s">
        <v>26</v>
      </c>
      <c r="D74" s="70" t="s">
        <v>32</v>
      </c>
      <c r="E74" s="25" t="s">
        <v>114</v>
      </c>
      <c r="F74" s="69"/>
      <c r="G74" s="26">
        <v>2672.95</v>
      </c>
      <c r="H74" s="71"/>
      <c r="I74" s="69"/>
      <c r="L74" s="26"/>
      <c r="M74" s="26"/>
      <c r="N74" s="72"/>
    </row>
    <row r="75" spans="1:17" ht="36" x14ac:dyDescent="0.25">
      <c r="A75" s="2"/>
      <c r="B75" s="148" t="s">
        <v>115</v>
      </c>
      <c r="C75" s="148" t="s">
        <v>23</v>
      </c>
      <c r="D75" s="149">
        <v>184802111</v>
      </c>
      <c r="E75" s="149" t="s">
        <v>116</v>
      </c>
      <c r="F75" s="150" t="s">
        <v>25</v>
      </c>
      <c r="G75" s="151">
        <v>1765.5</v>
      </c>
      <c r="H75" s="152">
        <v>16</v>
      </c>
      <c r="I75" s="153">
        <f>ROUND(H75*G75,2)</f>
        <v>28248</v>
      </c>
      <c r="J75" s="154"/>
      <c r="K75" s="154"/>
      <c r="L75" s="155">
        <v>-1765.5</v>
      </c>
      <c r="M75" s="155">
        <f>L75+G75</f>
        <v>0</v>
      </c>
      <c r="N75" s="156">
        <f>ROUND(L75*H75,2)</f>
        <v>-28248</v>
      </c>
      <c r="P75" s="64">
        <v>0</v>
      </c>
      <c r="Q75" s="64">
        <f>P75*L75</f>
        <v>0</v>
      </c>
    </row>
    <row r="76" spans="1:17" x14ac:dyDescent="0.25">
      <c r="A76" s="69"/>
      <c r="B76" s="69"/>
      <c r="C76" s="24" t="s">
        <v>26</v>
      </c>
      <c r="D76" s="70" t="s">
        <v>32</v>
      </c>
      <c r="E76" s="25" t="s">
        <v>107</v>
      </c>
      <c r="F76" s="69"/>
      <c r="G76" s="26">
        <v>1765.5</v>
      </c>
      <c r="H76" s="71"/>
      <c r="I76" s="69"/>
      <c r="L76" s="26"/>
      <c r="M76" s="26"/>
      <c r="N76" s="72"/>
    </row>
    <row r="77" spans="1:17" x14ac:dyDescent="0.25">
      <c r="A77" s="2"/>
      <c r="B77" s="80" t="s">
        <v>117</v>
      </c>
      <c r="C77" s="80" t="s">
        <v>23</v>
      </c>
      <c r="D77" s="81">
        <v>185804312</v>
      </c>
      <c r="E77" s="81" t="s">
        <v>118</v>
      </c>
      <c r="F77" s="82" t="s">
        <v>60</v>
      </c>
      <c r="G77" s="83">
        <v>8.8279999999999994</v>
      </c>
      <c r="H77" s="84">
        <v>150</v>
      </c>
      <c r="I77" s="85">
        <f>ROUND(H77*G77,2)</f>
        <v>1324.2</v>
      </c>
      <c r="L77" s="134">
        <f>M77-G77</f>
        <v>-8.8279999999999994</v>
      </c>
      <c r="M77" s="134">
        <v>0</v>
      </c>
      <c r="N77" s="135">
        <f>ROUND(L77*H77,2)</f>
        <v>-1324.2</v>
      </c>
      <c r="P77" s="64">
        <v>0</v>
      </c>
      <c r="Q77" s="64">
        <f>P77*L77</f>
        <v>0</v>
      </c>
    </row>
    <row r="78" spans="1:17" ht="22.5" x14ac:dyDescent="0.25">
      <c r="A78" s="69"/>
      <c r="B78" s="69"/>
      <c r="C78" s="24" t="s">
        <v>26</v>
      </c>
      <c r="D78" s="70" t="s">
        <v>32</v>
      </c>
      <c r="E78" s="25" t="s">
        <v>119</v>
      </c>
      <c r="F78" s="69"/>
      <c r="G78" s="26">
        <v>8.8279999999999994</v>
      </c>
      <c r="H78" s="71"/>
      <c r="I78" s="69"/>
      <c r="L78" s="124"/>
      <c r="M78" s="124"/>
      <c r="N78" s="125"/>
    </row>
    <row r="79" spans="1:17" ht="24" x14ac:dyDescent="0.25">
      <c r="A79" s="2"/>
      <c r="B79" s="80" t="s">
        <v>120</v>
      </c>
      <c r="C79" s="80" t="s">
        <v>23</v>
      </c>
      <c r="D79" s="81">
        <v>185851121</v>
      </c>
      <c r="E79" s="81" t="s">
        <v>121</v>
      </c>
      <c r="F79" s="82" t="s">
        <v>60</v>
      </c>
      <c r="G79" s="83">
        <v>8.8279999999999994</v>
      </c>
      <c r="H79" s="84">
        <v>250</v>
      </c>
      <c r="I79" s="85">
        <f>ROUND(H79*G79,2)</f>
        <v>2207</v>
      </c>
      <c r="L79" s="134">
        <f>M79-G79</f>
        <v>-8.8279999999999994</v>
      </c>
      <c r="M79" s="134">
        <v>0</v>
      </c>
      <c r="N79" s="135">
        <f>ROUND(L79*H79,2)</f>
        <v>-2207</v>
      </c>
      <c r="P79" s="64">
        <v>0</v>
      </c>
      <c r="Q79" s="64">
        <f>P79*L79</f>
        <v>0</v>
      </c>
    </row>
    <row r="80" spans="1:17" ht="22.5" x14ac:dyDescent="0.25">
      <c r="A80" s="69"/>
      <c r="B80" s="69"/>
      <c r="C80" s="24" t="s">
        <v>26</v>
      </c>
      <c r="D80" s="70" t="s">
        <v>32</v>
      </c>
      <c r="E80" s="25" t="s">
        <v>119</v>
      </c>
      <c r="F80" s="69"/>
      <c r="G80" s="26">
        <v>8.8279999999999994</v>
      </c>
      <c r="H80" s="71"/>
      <c r="I80" s="69"/>
      <c r="L80" s="124"/>
      <c r="M80" s="124"/>
      <c r="N80" s="125"/>
    </row>
    <row r="81" spans="1:27" ht="24" x14ac:dyDescent="0.25">
      <c r="A81" s="2"/>
      <c r="B81" s="80" t="s">
        <v>122</v>
      </c>
      <c r="C81" s="80" t="s">
        <v>23</v>
      </c>
      <c r="D81" s="81">
        <v>185851129</v>
      </c>
      <c r="E81" s="81" t="s">
        <v>123</v>
      </c>
      <c r="F81" s="82" t="s">
        <v>60</v>
      </c>
      <c r="G81" s="83">
        <v>44.137999999999998</v>
      </c>
      <c r="H81" s="84">
        <v>20</v>
      </c>
      <c r="I81" s="85">
        <f>ROUND(H81*G81,2)</f>
        <v>882.76</v>
      </c>
      <c r="L81" s="134">
        <f>M81-G81</f>
        <v>-44.137999999999998</v>
      </c>
      <c r="M81" s="134">
        <v>0</v>
      </c>
      <c r="N81" s="135">
        <f>ROUND(L81*H81,2)</f>
        <v>-882.76</v>
      </c>
      <c r="P81" s="64">
        <v>0</v>
      </c>
      <c r="Q81" s="64">
        <f>P81*L81</f>
        <v>0</v>
      </c>
    </row>
    <row r="82" spans="1:27" ht="22.5" x14ac:dyDescent="0.25">
      <c r="A82" s="69"/>
      <c r="B82" s="69"/>
      <c r="C82" s="24" t="s">
        <v>26</v>
      </c>
      <c r="D82" s="70" t="s">
        <v>32</v>
      </c>
      <c r="E82" s="25" t="s">
        <v>124</v>
      </c>
      <c r="F82" s="69"/>
      <c r="G82" s="26">
        <v>44.137999999999998</v>
      </c>
      <c r="H82" s="71"/>
      <c r="I82" s="69"/>
      <c r="L82" s="26"/>
      <c r="M82" s="26"/>
      <c r="N82" s="72"/>
    </row>
    <row r="83" spans="1:27" x14ac:dyDescent="0.25">
      <c r="A83" s="14"/>
      <c r="B83" s="15"/>
      <c r="C83" s="16" t="s">
        <v>18</v>
      </c>
      <c r="D83" s="20">
        <v>2</v>
      </c>
      <c r="E83" s="20" t="s">
        <v>125</v>
      </c>
      <c r="F83" s="15"/>
      <c r="G83" s="15"/>
      <c r="H83" s="18"/>
      <c r="I83" s="21">
        <f>SUM(I84:I89)</f>
        <v>51054.29</v>
      </c>
      <c r="L83" s="122"/>
      <c r="M83" s="122"/>
      <c r="N83" s="123">
        <f>SUM(N84:N89)</f>
        <v>0</v>
      </c>
    </row>
    <row r="84" spans="1:27" ht="36" x14ac:dyDescent="0.25">
      <c r="A84" s="2"/>
      <c r="B84" s="80" t="s">
        <v>126</v>
      </c>
      <c r="C84" s="80" t="s">
        <v>23</v>
      </c>
      <c r="D84" s="81">
        <v>211561111</v>
      </c>
      <c r="E84" s="81" t="s">
        <v>127</v>
      </c>
      <c r="F84" s="82" t="s">
        <v>60</v>
      </c>
      <c r="G84" s="83">
        <v>38.018000000000001</v>
      </c>
      <c r="H84" s="84">
        <v>1155</v>
      </c>
      <c r="I84" s="85">
        <f>ROUND(H84*G84,2)</f>
        <v>43910.79</v>
      </c>
      <c r="L84" s="22">
        <v>0</v>
      </c>
      <c r="M84" s="22">
        <f>L84+G84</f>
        <v>38.018000000000001</v>
      </c>
      <c r="N84" s="23">
        <f>ROUND(L84*H84,2)</f>
        <v>0</v>
      </c>
      <c r="P84" s="64">
        <v>1.665</v>
      </c>
      <c r="Q84" s="64">
        <f>P84*L84</f>
        <v>0</v>
      </c>
    </row>
    <row r="85" spans="1:27" x14ac:dyDescent="0.25">
      <c r="A85" s="69"/>
      <c r="B85" s="69"/>
      <c r="C85" s="24" t="s">
        <v>26</v>
      </c>
      <c r="D85" s="70" t="s">
        <v>32</v>
      </c>
      <c r="E85" s="25" t="s">
        <v>128</v>
      </c>
      <c r="F85" s="69"/>
      <c r="G85" s="26">
        <v>38.018000000000001</v>
      </c>
      <c r="H85" s="71"/>
      <c r="I85" s="69"/>
      <c r="L85" s="26"/>
      <c r="M85" s="26"/>
      <c r="N85" s="72"/>
    </row>
    <row r="86" spans="1:27" x14ac:dyDescent="0.25">
      <c r="A86" s="2"/>
      <c r="B86" s="80" t="s">
        <v>129</v>
      </c>
      <c r="C86" s="80" t="s">
        <v>23</v>
      </c>
      <c r="D86" s="81">
        <v>212572111</v>
      </c>
      <c r="E86" s="81" t="s">
        <v>130</v>
      </c>
      <c r="F86" s="82" t="s">
        <v>60</v>
      </c>
      <c r="G86" s="83">
        <v>7.85</v>
      </c>
      <c r="H86" s="84">
        <v>250</v>
      </c>
      <c r="I86" s="85">
        <f>ROUND(H86*G86,2)</f>
        <v>1962.5</v>
      </c>
      <c r="L86" s="22">
        <v>0</v>
      </c>
      <c r="M86" s="22">
        <f>L86+G86</f>
        <v>7.85</v>
      </c>
      <c r="N86" s="23">
        <f>ROUND(L86*H86,2)</f>
        <v>0</v>
      </c>
      <c r="P86" s="64">
        <v>1.92</v>
      </c>
      <c r="Q86" s="64">
        <f>P86*L86</f>
        <v>0</v>
      </c>
    </row>
    <row r="87" spans="1:27" x14ac:dyDescent="0.25">
      <c r="A87" s="69"/>
      <c r="B87" s="69"/>
      <c r="C87" s="24" t="s">
        <v>26</v>
      </c>
      <c r="D87" s="70" t="s">
        <v>131</v>
      </c>
      <c r="E87" s="25" t="s">
        <v>132</v>
      </c>
      <c r="F87" s="69"/>
      <c r="G87" s="26">
        <v>7.85</v>
      </c>
      <c r="H87" s="71"/>
      <c r="I87" s="69"/>
      <c r="L87" s="26"/>
      <c r="M87" s="26"/>
      <c r="N87" s="72"/>
    </row>
    <row r="88" spans="1:27" ht="24" x14ac:dyDescent="0.25">
      <c r="A88" s="2"/>
      <c r="B88" s="80" t="s">
        <v>133</v>
      </c>
      <c r="C88" s="80" t="s">
        <v>23</v>
      </c>
      <c r="D88" s="81">
        <v>212755214</v>
      </c>
      <c r="E88" s="81" t="s">
        <v>134</v>
      </c>
      <c r="F88" s="82" t="s">
        <v>135</v>
      </c>
      <c r="G88" s="83">
        <v>157</v>
      </c>
      <c r="H88" s="84">
        <v>33</v>
      </c>
      <c r="I88" s="85">
        <f>ROUND(H88*G88,2)</f>
        <v>5181</v>
      </c>
      <c r="L88" s="22">
        <v>0</v>
      </c>
      <c r="M88" s="22">
        <f>L88+G88</f>
        <v>157</v>
      </c>
      <c r="N88" s="23">
        <f>ROUND(L88*H88,2)</f>
        <v>0</v>
      </c>
      <c r="P88" s="64">
        <v>4.8999999999999998E-4</v>
      </c>
      <c r="Q88" s="64">
        <f>P88*L88</f>
        <v>0</v>
      </c>
    </row>
    <row r="89" spans="1:27" x14ac:dyDescent="0.25">
      <c r="A89" s="69"/>
      <c r="B89" s="69"/>
      <c r="C89" s="24" t="s">
        <v>26</v>
      </c>
      <c r="D89" s="70" t="s">
        <v>32</v>
      </c>
      <c r="E89" s="25" t="s">
        <v>136</v>
      </c>
      <c r="F89" s="69"/>
      <c r="G89" s="26">
        <v>157</v>
      </c>
      <c r="H89" s="71"/>
      <c r="I89" s="69"/>
      <c r="L89" s="26"/>
      <c r="M89" s="26"/>
      <c r="N89" s="72"/>
    </row>
    <row r="90" spans="1:27" x14ac:dyDescent="0.25">
      <c r="A90" s="14"/>
      <c r="B90" s="15"/>
      <c r="C90" s="16" t="s">
        <v>18</v>
      </c>
      <c r="D90" s="20">
        <v>5</v>
      </c>
      <c r="E90" s="20" t="s">
        <v>137</v>
      </c>
      <c r="F90" s="15"/>
      <c r="G90" s="15"/>
      <c r="H90" s="18"/>
      <c r="I90" s="21">
        <f>SUM(I91:I161)</f>
        <v>4107643</v>
      </c>
      <c r="L90" s="121"/>
      <c r="M90" s="120"/>
      <c r="N90" s="21">
        <f>SUM(N91:N161)</f>
        <v>205472.16999999998</v>
      </c>
    </row>
    <row r="91" spans="1:27" x14ac:dyDescent="0.25">
      <c r="A91" s="2"/>
      <c r="B91" s="80" t="s">
        <v>138</v>
      </c>
      <c r="C91" s="80" t="s">
        <v>23</v>
      </c>
      <c r="D91" s="81">
        <v>564851111</v>
      </c>
      <c r="E91" s="81" t="s">
        <v>139</v>
      </c>
      <c r="F91" s="82" t="s">
        <v>25</v>
      </c>
      <c r="G91" s="83">
        <v>4213.55</v>
      </c>
      <c r="H91" s="84">
        <v>195</v>
      </c>
      <c r="I91" s="85">
        <f>ROUND(H91*G91,2)</f>
        <v>821642.25</v>
      </c>
      <c r="L91" s="22">
        <f>M91-G91</f>
        <v>220.89999999999964</v>
      </c>
      <c r="M91" s="22">
        <f>L92*2+L93+G94+L95+G96</f>
        <v>4434.45</v>
      </c>
      <c r="N91" s="23">
        <f>ROUND(L91*H91,2)</f>
        <v>43075.5</v>
      </c>
      <c r="P91" s="64">
        <v>0</v>
      </c>
      <c r="Q91" s="64">
        <f>P91*L91</f>
        <v>0</v>
      </c>
      <c r="R91" s="131" t="s">
        <v>418</v>
      </c>
      <c r="S91" s="48"/>
    </row>
    <row r="92" spans="1:27" ht="22.5" x14ac:dyDescent="0.25">
      <c r="A92" s="69"/>
      <c r="B92" s="69"/>
      <c r="C92" s="24" t="s">
        <v>26</v>
      </c>
      <c r="D92" s="70" t="s">
        <v>140</v>
      </c>
      <c r="E92" s="25" t="s">
        <v>141</v>
      </c>
      <c r="F92" s="69"/>
      <c r="G92" s="26">
        <v>1895</v>
      </c>
      <c r="H92" s="71"/>
      <c r="I92" s="69"/>
      <c r="K92" s="141"/>
      <c r="L92" s="30">
        <v>2002</v>
      </c>
      <c r="M92" s="26" t="s">
        <v>140</v>
      </c>
      <c r="N92" s="72"/>
      <c r="R92" s="131" t="s">
        <v>416</v>
      </c>
      <c r="AA92" t="s">
        <v>434</v>
      </c>
    </row>
    <row r="93" spans="1:27" ht="33.75" x14ac:dyDescent="0.25">
      <c r="A93" s="69"/>
      <c r="B93" s="69"/>
      <c r="C93" s="24" t="s">
        <v>26</v>
      </c>
      <c r="D93" s="70" t="s">
        <v>142</v>
      </c>
      <c r="E93" s="25" t="s">
        <v>143</v>
      </c>
      <c r="F93" s="69"/>
      <c r="G93" s="26">
        <v>364.5</v>
      </c>
      <c r="H93" s="71"/>
      <c r="I93" s="69"/>
      <c r="K93" s="141"/>
      <c r="L93" s="30">
        <f>L141</f>
        <v>352</v>
      </c>
      <c r="M93" s="26" t="s">
        <v>142</v>
      </c>
      <c r="N93" s="26"/>
      <c r="R93" s="131" t="s">
        <v>439</v>
      </c>
    </row>
    <row r="94" spans="1:27" ht="22.5" x14ac:dyDescent="0.25">
      <c r="A94" s="69"/>
      <c r="B94" s="69"/>
      <c r="C94" s="24" t="s">
        <v>26</v>
      </c>
      <c r="D94" s="70" t="s">
        <v>144</v>
      </c>
      <c r="E94" s="25" t="s">
        <v>145</v>
      </c>
      <c r="F94" s="69"/>
      <c r="G94" s="26">
        <v>9.4499999999999993</v>
      </c>
      <c r="H94" s="71"/>
      <c r="I94" s="69"/>
      <c r="K94" s="141"/>
      <c r="L94" s="26"/>
      <c r="M94" s="26"/>
      <c r="N94" s="72"/>
    </row>
    <row r="95" spans="1:27" ht="22.5" x14ac:dyDescent="0.25">
      <c r="A95" s="69"/>
      <c r="B95" s="69"/>
      <c r="C95" s="24" t="s">
        <v>26</v>
      </c>
      <c r="D95" s="70" t="s">
        <v>146</v>
      </c>
      <c r="E95" s="25" t="s">
        <v>147</v>
      </c>
      <c r="F95" s="69"/>
      <c r="G95" s="26">
        <v>21.6</v>
      </c>
      <c r="H95" s="71"/>
      <c r="I95" s="69"/>
      <c r="K95" s="141"/>
      <c r="L95" s="26">
        <f>L129</f>
        <v>41</v>
      </c>
      <c r="M95" s="26" t="s">
        <v>361</v>
      </c>
      <c r="N95" s="72"/>
    </row>
    <row r="96" spans="1:27" x14ac:dyDescent="0.25">
      <c r="A96" s="69"/>
      <c r="B96" s="69"/>
      <c r="C96" s="24" t="s">
        <v>26</v>
      </c>
      <c r="D96" s="70" t="s">
        <v>148</v>
      </c>
      <c r="E96" s="25" t="s">
        <v>149</v>
      </c>
      <c r="F96" s="69"/>
      <c r="G96" s="26">
        <v>28</v>
      </c>
      <c r="H96" s="71"/>
      <c r="I96" s="132" t="s">
        <v>417</v>
      </c>
      <c r="K96" s="141"/>
      <c r="L96" s="26"/>
      <c r="M96" s="26"/>
      <c r="N96" s="72"/>
      <c r="R96" s="131" t="s">
        <v>420</v>
      </c>
    </row>
    <row r="97" spans="1:18" x14ac:dyDescent="0.25">
      <c r="A97" s="69"/>
      <c r="B97" s="69"/>
      <c r="C97" s="24" t="s">
        <v>26</v>
      </c>
      <c r="D97" s="70" t="s">
        <v>32</v>
      </c>
      <c r="E97" s="25" t="s">
        <v>150</v>
      </c>
      <c r="F97" s="69"/>
      <c r="G97" s="26">
        <v>4213.55</v>
      </c>
      <c r="H97" s="71"/>
      <c r="I97" s="69"/>
      <c r="L97" s="26"/>
      <c r="M97" s="26"/>
      <c r="N97" s="72"/>
    </row>
    <row r="98" spans="1:18" x14ac:dyDescent="0.25">
      <c r="A98" s="2"/>
      <c r="B98" s="80" t="s">
        <v>151</v>
      </c>
      <c r="C98" s="80" t="s">
        <v>23</v>
      </c>
      <c r="D98" s="81">
        <v>564871111</v>
      </c>
      <c r="E98" s="81" t="s">
        <v>152</v>
      </c>
      <c r="F98" s="82" t="s">
        <v>25</v>
      </c>
      <c r="G98" s="83">
        <v>4187.6000000000004</v>
      </c>
      <c r="H98" s="84">
        <v>235</v>
      </c>
      <c r="I98" s="85">
        <f>ROUND(H98*G98,2)</f>
        <v>984086</v>
      </c>
      <c r="L98" s="22">
        <f>M98-G98</f>
        <v>233.89999999999964</v>
      </c>
      <c r="M98" s="22">
        <f>L99+G100+L101+L102</f>
        <v>4421.5</v>
      </c>
      <c r="N98" s="23">
        <f>ROUND(L98*H98,2)</f>
        <v>54966.5</v>
      </c>
      <c r="P98" s="64">
        <v>0</v>
      </c>
      <c r="Q98" s="64">
        <f>P98*L98</f>
        <v>0</v>
      </c>
    </row>
    <row r="99" spans="1:18" ht="22.5" x14ac:dyDescent="0.25">
      <c r="A99" s="69"/>
      <c r="B99" s="69"/>
      <c r="C99" s="24" t="s">
        <v>26</v>
      </c>
      <c r="D99" s="70" t="s">
        <v>153</v>
      </c>
      <c r="E99" s="25" t="s">
        <v>154</v>
      </c>
      <c r="F99" s="69"/>
      <c r="G99" s="26">
        <v>80</v>
      </c>
      <c r="H99" s="71"/>
      <c r="I99" s="69"/>
      <c r="L99" s="142">
        <f>L151</f>
        <v>156</v>
      </c>
      <c r="M99" s="26" t="s">
        <v>369</v>
      </c>
      <c r="N99" s="72"/>
      <c r="R99" s="131" t="s">
        <v>436</v>
      </c>
    </row>
    <row r="100" spans="1:18" ht="22.5" x14ac:dyDescent="0.25">
      <c r="A100" s="69"/>
      <c r="B100" s="69"/>
      <c r="C100" s="24" t="s">
        <v>26</v>
      </c>
      <c r="D100" s="70" t="s">
        <v>155</v>
      </c>
      <c r="E100" s="25" t="s">
        <v>156</v>
      </c>
      <c r="F100" s="69"/>
      <c r="G100" s="26">
        <v>12.5</v>
      </c>
      <c r="H100" s="71"/>
      <c r="I100" s="69"/>
      <c r="L100" s="142"/>
      <c r="M100" s="26"/>
      <c r="N100" s="72"/>
    </row>
    <row r="101" spans="1:18" ht="22.5" x14ac:dyDescent="0.25">
      <c r="A101" s="69"/>
      <c r="B101" s="69"/>
      <c r="C101" s="24" t="s">
        <v>26</v>
      </c>
      <c r="D101" s="70" t="s">
        <v>157</v>
      </c>
      <c r="E101" s="25" t="s">
        <v>158</v>
      </c>
      <c r="F101" s="69"/>
      <c r="G101" s="26">
        <v>261.89999999999998</v>
      </c>
      <c r="H101" s="71"/>
      <c r="I101" s="69"/>
      <c r="L101" s="142">
        <v>253</v>
      </c>
      <c r="M101" s="26" t="s">
        <v>157</v>
      </c>
      <c r="N101" s="26"/>
      <c r="R101" s="131" t="s">
        <v>419</v>
      </c>
    </row>
    <row r="102" spans="1:18" x14ac:dyDescent="0.25">
      <c r="A102" s="69"/>
      <c r="B102" s="69"/>
      <c r="C102" s="24" t="s">
        <v>26</v>
      </c>
      <c r="D102" s="70" t="s">
        <v>32</v>
      </c>
      <c r="E102" s="25" t="s">
        <v>159</v>
      </c>
      <c r="F102" s="69"/>
      <c r="G102" s="26">
        <v>3833.2</v>
      </c>
      <c r="H102" s="71"/>
      <c r="I102" s="69"/>
      <c r="L102" s="26">
        <f>(L120+L129)*2</f>
        <v>4000</v>
      </c>
      <c r="M102" s="26" t="s">
        <v>360</v>
      </c>
      <c r="N102" s="26"/>
    </row>
    <row r="103" spans="1:18" x14ac:dyDescent="0.25">
      <c r="A103" s="27"/>
      <c r="B103" s="28"/>
      <c r="C103" s="24" t="s">
        <v>26</v>
      </c>
      <c r="D103" s="29" t="s">
        <v>32</v>
      </c>
      <c r="E103" s="136" t="s">
        <v>48</v>
      </c>
      <c r="F103" s="28"/>
      <c r="G103" s="30">
        <v>4187.6000000000004</v>
      </c>
      <c r="H103" s="31"/>
      <c r="I103" s="28"/>
      <c r="L103" s="30"/>
      <c r="M103" s="117"/>
      <c r="N103" s="118"/>
    </row>
    <row r="104" spans="1:18" x14ac:dyDescent="0.25">
      <c r="A104" s="2"/>
      <c r="B104" s="80" t="s">
        <v>160</v>
      </c>
      <c r="C104" s="80" t="s">
        <v>23</v>
      </c>
      <c r="D104" s="81">
        <v>564871116</v>
      </c>
      <c r="E104" s="81" t="s">
        <v>161</v>
      </c>
      <c r="F104" s="82" t="s">
        <v>25</v>
      </c>
      <c r="G104" s="83">
        <v>728.35</v>
      </c>
      <c r="H104" s="84">
        <v>275</v>
      </c>
      <c r="I104" s="85">
        <f>ROUND(H104*G104,2)</f>
        <v>200296.25</v>
      </c>
      <c r="L104" s="22">
        <v>0</v>
      </c>
      <c r="M104" s="22">
        <f>L104+G104</f>
        <v>728.35</v>
      </c>
      <c r="N104" s="23">
        <f>ROUND(L104*H104,2)</f>
        <v>0</v>
      </c>
      <c r="P104" s="64">
        <v>0</v>
      </c>
      <c r="Q104" s="64">
        <f>P104*L104</f>
        <v>0</v>
      </c>
    </row>
    <row r="105" spans="1:18" ht="22.5" x14ac:dyDescent="0.25">
      <c r="A105" s="69"/>
      <c r="B105" s="69"/>
      <c r="C105" s="24" t="s">
        <v>26</v>
      </c>
      <c r="D105" s="70" t="s">
        <v>32</v>
      </c>
      <c r="E105" s="25" t="s">
        <v>162</v>
      </c>
      <c r="F105" s="69"/>
      <c r="G105" s="26">
        <v>728.35</v>
      </c>
      <c r="H105" s="71"/>
      <c r="I105" s="69"/>
      <c r="L105" s="26"/>
      <c r="M105" s="26"/>
      <c r="N105" s="72"/>
    </row>
    <row r="106" spans="1:18" ht="36" x14ac:dyDescent="0.25">
      <c r="A106" s="2"/>
      <c r="B106" s="80" t="s">
        <v>163</v>
      </c>
      <c r="C106" s="80" t="s">
        <v>23</v>
      </c>
      <c r="D106" s="92" t="s">
        <v>164</v>
      </c>
      <c r="E106" s="81" t="s">
        <v>165</v>
      </c>
      <c r="F106" s="82" t="s">
        <v>25</v>
      </c>
      <c r="G106" s="83">
        <v>28</v>
      </c>
      <c r="H106" s="84">
        <v>125</v>
      </c>
      <c r="I106" s="85">
        <f>ROUND(H106*G106,2)</f>
        <v>3500</v>
      </c>
      <c r="L106" s="22">
        <v>0</v>
      </c>
      <c r="M106" s="22">
        <f>L106+G106</f>
        <v>28</v>
      </c>
      <c r="N106" s="23">
        <f>ROUND(L106*H106,2)</f>
        <v>0</v>
      </c>
      <c r="P106" s="64">
        <v>0</v>
      </c>
      <c r="Q106" s="64">
        <f>P106*L106</f>
        <v>0</v>
      </c>
    </row>
    <row r="107" spans="1:18" x14ac:dyDescent="0.25">
      <c r="A107" s="69"/>
      <c r="B107" s="69"/>
      <c r="C107" s="24" t="s">
        <v>26</v>
      </c>
      <c r="D107" s="70" t="s">
        <v>32</v>
      </c>
      <c r="E107" s="25" t="s">
        <v>166</v>
      </c>
      <c r="F107" s="69"/>
      <c r="G107" s="26">
        <v>28</v>
      </c>
      <c r="H107" s="71"/>
      <c r="I107" s="69"/>
      <c r="L107" s="26"/>
      <c r="M107" s="26"/>
      <c r="N107" s="72"/>
    </row>
    <row r="108" spans="1:18" ht="24" x14ac:dyDescent="0.25">
      <c r="A108" s="2"/>
      <c r="B108" s="80" t="s">
        <v>167</v>
      </c>
      <c r="C108" s="80" t="s">
        <v>23</v>
      </c>
      <c r="D108" s="81">
        <v>564951413</v>
      </c>
      <c r="E108" s="81" t="s">
        <v>168</v>
      </c>
      <c r="F108" s="82" t="s">
        <v>25</v>
      </c>
      <c r="G108" s="83">
        <v>34.299999999999997</v>
      </c>
      <c r="H108" s="84">
        <v>55</v>
      </c>
      <c r="I108" s="85">
        <f>ROUND(H108*G108,2)</f>
        <v>1886.5</v>
      </c>
      <c r="L108" s="22">
        <v>0</v>
      </c>
      <c r="M108" s="22">
        <f>L108+G108</f>
        <v>34.299999999999997</v>
      </c>
      <c r="N108" s="23">
        <f>ROUND(L108*H108,2)</f>
        <v>0</v>
      </c>
      <c r="P108" s="64">
        <v>0</v>
      </c>
      <c r="Q108" s="64">
        <f>P108*L108</f>
        <v>0</v>
      </c>
    </row>
    <row r="109" spans="1:18" ht="22.5" x14ac:dyDescent="0.25">
      <c r="A109" s="69"/>
      <c r="B109" s="69"/>
      <c r="C109" s="24" t="s">
        <v>26</v>
      </c>
      <c r="D109" s="70" t="s">
        <v>32</v>
      </c>
      <c r="E109" s="25" t="s">
        <v>169</v>
      </c>
      <c r="F109" s="69"/>
      <c r="G109" s="26">
        <v>34.299999999999997</v>
      </c>
      <c r="H109" s="71"/>
      <c r="I109" s="69"/>
      <c r="L109" s="26"/>
      <c r="M109" s="26"/>
      <c r="N109" s="72"/>
    </row>
    <row r="110" spans="1:18" ht="36" x14ac:dyDescent="0.25">
      <c r="A110" s="2"/>
      <c r="B110" s="80" t="s">
        <v>170</v>
      </c>
      <c r="C110" s="80" t="s">
        <v>23</v>
      </c>
      <c r="D110" s="81">
        <v>565155121</v>
      </c>
      <c r="E110" s="81" t="s">
        <v>171</v>
      </c>
      <c r="F110" s="82" t="s">
        <v>25</v>
      </c>
      <c r="G110" s="83">
        <v>1895</v>
      </c>
      <c r="H110" s="84">
        <v>510</v>
      </c>
      <c r="I110" s="85">
        <f>ROUND(H110*G110,2)</f>
        <v>966450</v>
      </c>
      <c r="L110" s="22">
        <f>M110-G110</f>
        <v>64</v>
      </c>
      <c r="M110" s="22">
        <f>L111</f>
        <v>1959</v>
      </c>
      <c r="N110" s="23">
        <f>ROUND(L110*H110,2)</f>
        <v>32640</v>
      </c>
      <c r="P110" s="64">
        <v>0</v>
      </c>
      <c r="Q110" s="64">
        <f>P110*L110</f>
        <v>0</v>
      </c>
    </row>
    <row r="111" spans="1:18" x14ac:dyDescent="0.25">
      <c r="A111" s="69"/>
      <c r="B111" s="69"/>
      <c r="C111" s="24" t="s">
        <v>26</v>
      </c>
      <c r="D111" s="70" t="s">
        <v>32</v>
      </c>
      <c r="E111" s="25" t="s">
        <v>140</v>
      </c>
      <c r="F111" s="69"/>
      <c r="G111" s="26">
        <v>1895</v>
      </c>
      <c r="H111" s="71"/>
      <c r="I111" s="69"/>
      <c r="L111" s="30">
        <v>1959</v>
      </c>
      <c r="M111" s="26"/>
      <c r="N111" s="72"/>
      <c r="R111" s="131" t="s">
        <v>441</v>
      </c>
    </row>
    <row r="112" spans="1:18" ht="24" x14ac:dyDescent="0.25">
      <c r="A112" s="2"/>
      <c r="B112" s="80" t="s">
        <v>172</v>
      </c>
      <c r="C112" s="80" t="s">
        <v>23</v>
      </c>
      <c r="D112" s="81">
        <v>567132115</v>
      </c>
      <c r="E112" s="81" t="s">
        <v>173</v>
      </c>
      <c r="F112" s="82" t="s">
        <v>25</v>
      </c>
      <c r="G112" s="83">
        <v>21.6</v>
      </c>
      <c r="H112" s="84">
        <v>325</v>
      </c>
      <c r="I112" s="85">
        <f>ROUND(H112*G112,2)</f>
        <v>7020</v>
      </c>
      <c r="L112" s="22">
        <f>M112-G112</f>
        <v>10.5</v>
      </c>
      <c r="M112" s="22">
        <f>L113</f>
        <v>32.1</v>
      </c>
      <c r="N112" s="23">
        <f>ROUND(L112*H112,2)</f>
        <v>3412.5</v>
      </c>
      <c r="P112" s="64">
        <v>0</v>
      </c>
      <c r="Q112" s="64">
        <f>P112*L112</f>
        <v>0</v>
      </c>
    </row>
    <row r="113" spans="1:18" x14ac:dyDescent="0.25">
      <c r="A113" s="69"/>
      <c r="B113" s="69"/>
      <c r="C113" s="24" t="s">
        <v>26</v>
      </c>
      <c r="D113" s="70" t="s">
        <v>32</v>
      </c>
      <c r="E113" s="25" t="s">
        <v>146</v>
      </c>
      <c r="F113" s="69"/>
      <c r="G113" s="26">
        <v>21.6</v>
      </c>
      <c r="H113" s="71"/>
      <c r="I113" s="69"/>
      <c r="L113" s="26">
        <v>32.1</v>
      </c>
      <c r="M113" s="26" t="s">
        <v>362</v>
      </c>
      <c r="N113" s="26"/>
    </row>
    <row r="114" spans="1:18" ht="24" x14ac:dyDescent="0.25">
      <c r="A114" s="2"/>
      <c r="B114" s="80" t="s">
        <v>174</v>
      </c>
      <c r="C114" s="80" t="s">
        <v>23</v>
      </c>
      <c r="D114" s="81">
        <v>573231106</v>
      </c>
      <c r="E114" s="81" t="s">
        <v>175</v>
      </c>
      <c r="F114" s="82" t="s">
        <v>25</v>
      </c>
      <c r="G114" s="83">
        <v>1949.5</v>
      </c>
      <c r="H114" s="84">
        <v>19</v>
      </c>
      <c r="I114" s="85">
        <f>ROUND(H114*G114,2)</f>
        <v>37040.5</v>
      </c>
      <c r="L114" s="22">
        <f>M114-G114</f>
        <v>9.5</v>
      </c>
      <c r="M114" s="22">
        <f>L115+L116+L117</f>
        <v>1959</v>
      </c>
      <c r="N114" s="23">
        <f>ROUND(L114*H114,2)</f>
        <v>180.5</v>
      </c>
      <c r="P114" s="64">
        <v>0</v>
      </c>
      <c r="Q114" s="64">
        <f>P114*L114</f>
        <v>0</v>
      </c>
    </row>
    <row r="115" spans="1:18" x14ac:dyDescent="0.25">
      <c r="A115" s="69"/>
      <c r="B115" s="69"/>
      <c r="C115" s="24" t="s">
        <v>26</v>
      </c>
      <c r="D115" s="70" t="s">
        <v>32</v>
      </c>
      <c r="E115" s="25" t="s">
        <v>140</v>
      </c>
      <c r="F115" s="69"/>
      <c r="G115" s="26">
        <v>1895</v>
      </c>
      <c r="H115" s="71"/>
      <c r="I115" s="69"/>
      <c r="L115" s="30">
        <v>1959</v>
      </c>
      <c r="M115" s="26"/>
      <c r="N115" s="72"/>
      <c r="R115" s="131"/>
    </row>
    <row r="116" spans="1:18" ht="22.5" x14ac:dyDescent="0.25">
      <c r="A116" s="69"/>
      <c r="B116" s="69"/>
      <c r="C116" s="24" t="s">
        <v>26</v>
      </c>
      <c r="D116" s="70" t="s">
        <v>32</v>
      </c>
      <c r="E116" s="25" t="s">
        <v>176</v>
      </c>
      <c r="F116" s="69"/>
      <c r="G116" s="26">
        <v>34.5</v>
      </c>
      <c r="H116" s="71"/>
      <c r="I116" s="69"/>
      <c r="L116" s="26"/>
      <c r="M116" s="26"/>
      <c r="N116" s="72"/>
    </row>
    <row r="117" spans="1:18" x14ac:dyDescent="0.25">
      <c r="A117" s="69"/>
      <c r="B117" s="69"/>
      <c r="C117" s="24" t="s">
        <v>26</v>
      </c>
      <c r="D117" s="70" t="s">
        <v>32</v>
      </c>
      <c r="E117" s="25" t="s">
        <v>54</v>
      </c>
      <c r="F117" s="69"/>
      <c r="G117" s="26">
        <v>20</v>
      </c>
      <c r="H117" s="71"/>
      <c r="I117" s="69"/>
      <c r="L117" s="26"/>
      <c r="M117" s="26"/>
      <c r="N117" s="72"/>
    </row>
    <row r="118" spans="1:18" x14ac:dyDescent="0.25">
      <c r="A118" s="27"/>
      <c r="B118" s="28"/>
      <c r="C118" s="24" t="s">
        <v>26</v>
      </c>
      <c r="D118" s="29" t="s">
        <v>32</v>
      </c>
      <c r="E118" s="136" t="s">
        <v>48</v>
      </c>
      <c r="F118" s="28"/>
      <c r="G118" s="30">
        <v>1949.5</v>
      </c>
      <c r="H118" s="31"/>
      <c r="I118" s="28"/>
      <c r="L118" s="30"/>
      <c r="M118" s="117"/>
      <c r="N118" s="118"/>
    </row>
    <row r="119" spans="1:18" ht="36" x14ac:dyDescent="0.25">
      <c r="A119" s="2"/>
      <c r="B119" s="80" t="s">
        <v>177</v>
      </c>
      <c r="C119" s="80" t="s">
        <v>23</v>
      </c>
      <c r="D119" s="81">
        <v>577134121</v>
      </c>
      <c r="E119" s="81" t="s">
        <v>178</v>
      </c>
      <c r="F119" s="82" t="s">
        <v>25</v>
      </c>
      <c r="G119" s="83">
        <v>1938</v>
      </c>
      <c r="H119" s="84">
        <v>318</v>
      </c>
      <c r="I119" s="85">
        <f>ROUND(H119*G119,2)</f>
        <v>616284</v>
      </c>
      <c r="L119" s="22">
        <f>M119-G119</f>
        <v>64</v>
      </c>
      <c r="M119" s="22">
        <f>L120+G121+G122</f>
        <v>2002</v>
      </c>
      <c r="N119" s="23">
        <f>ROUND(L119*H119,2)</f>
        <v>20352</v>
      </c>
      <c r="P119" s="64">
        <v>0</v>
      </c>
      <c r="Q119" s="64">
        <f>P119*L119</f>
        <v>0</v>
      </c>
      <c r="R119" t="s">
        <v>440</v>
      </c>
    </row>
    <row r="120" spans="1:18" x14ac:dyDescent="0.25">
      <c r="A120" s="69"/>
      <c r="B120" s="69"/>
      <c r="C120" s="24" t="s">
        <v>26</v>
      </c>
      <c r="D120" s="70" t="s">
        <v>32</v>
      </c>
      <c r="E120" s="25" t="s">
        <v>140</v>
      </c>
      <c r="F120" s="69"/>
      <c r="G120" s="26">
        <v>1895</v>
      </c>
      <c r="H120" s="71"/>
      <c r="I120" s="69"/>
      <c r="L120" s="30">
        <v>1959</v>
      </c>
      <c r="M120" s="26"/>
      <c r="N120" s="72"/>
      <c r="R120" s="131"/>
    </row>
    <row r="121" spans="1:18" ht="22.5" x14ac:dyDescent="0.25">
      <c r="A121" s="69"/>
      <c r="B121" s="69"/>
      <c r="C121" s="24" t="s">
        <v>26</v>
      </c>
      <c r="D121" s="70" t="s">
        <v>32</v>
      </c>
      <c r="E121" s="25" t="s">
        <v>53</v>
      </c>
      <c r="F121" s="69"/>
      <c r="G121" s="26">
        <v>23</v>
      </c>
      <c r="H121" s="71"/>
      <c r="I121" s="69"/>
      <c r="L121" s="26"/>
      <c r="M121" s="26"/>
      <c r="N121" s="72"/>
    </row>
    <row r="122" spans="1:18" x14ac:dyDescent="0.25">
      <c r="A122" s="69"/>
      <c r="B122" s="69"/>
      <c r="C122" s="24" t="s">
        <v>26</v>
      </c>
      <c r="D122" s="70" t="s">
        <v>32</v>
      </c>
      <c r="E122" s="25" t="s">
        <v>54</v>
      </c>
      <c r="F122" s="69"/>
      <c r="G122" s="26">
        <v>20</v>
      </c>
      <c r="H122" s="71"/>
      <c r="I122" s="69"/>
      <c r="L122" s="26"/>
      <c r="M122" s="26"/>
      <c r="N122" s="72"/>
    </row>
    <row r="123" spans="1:18" x14ac:dyDescent="0.25">
      <c r="A123" s="27"/>
      <c r="B123" s="28"/>
      <c r="C123" s="24" t="s">
        <v>26</v>
      </c>
      <c r="D123" s="29" t="s">
        <v>32</v>
      </c>
      <c r="E123" s="136" t="s">
        <v>48</v>
      </c>
      <c r="F123" s="28"/>
      <c r="G123" s="30">
        <v>1938</v>
      </c>
      <c r="H123" s="31"/>
      <c r="I123" s="28"/>
      <c r="L123" s="117"/>
      <c r="M123" s="117"/>
      <c r="N123" s="118"/>
    </row>
    <row r="124" spans="1:18" ht="24" x14ac:dyDescent="0.25">
      <c r="A124" s="2"/>
      <c r="B124" s="80" t="s">
        <v>179</v>
      </c>
      <c r="C124" s="80" t="s">
        <v>23</v>
      </c>
      <c r="D124" s="81">
        <v>577156111</v>
      </c>
      <c r="E124" s="81" t="s">
        <v>180</v>
      </c>
      <c r="F124" s="82" t="s">
        <v>25</v>
      </c>
      <c r="G124" s="83">
        <v>31.5</v>
      </c>
      <c r="H124" s="84">
        <v>954</v>
      </c>
      <c r="I124" s="85">
        <f>ROUND(H124*G124,2)</f>
        <v>30051</v>
      </c>
      <c r="L124" s="22">
        <v>0</v>
      </c>
      <c r="M124" s="22">
        <f>L124+G124</f>
        <v>31.5</v>
      </c>
      <c r="N124" s="23">
        <f>ROUND(L124*H124,2)</f>
        <v>0</v>
      </c>
      <c r="P124" s="64">
        <v>0</v>
      </c>
      <c r="Q124" s="64">
        <f>P124*L124</f>
        <v>0</v>
      </c>
    </row>
    <row r="125" spans="1:18" ht="22.5" x14ac:dyDescent="0.25">
      <c r="A125" s="69"/>
      <c r="B125" s="69"/>
      <c r="C125" s="24" t="s">
        <v>26</v>
      </c>
      <c r="D125" s="70" t="s">
        <v>32</v>
      </c>
      <c r="E125" s="25" t="s">
        <v>57</v>
      </c>
      <c r="F125" s="69"/>
      <c r="G125" s="26">
        <v>11.5</v>
      </c>
      <c r="H125" s="71"/>
      <c r="I125" s="69"/>
      <c r="L125" s="26"/>
      <c r="M125" s="26"/>
      <c r="N125" s="72"/>
    </row>
    <row r="126" spans="1:18" x14ac:dyDescent="0.25">
      <c r="A126" s="69"/>
      <c r="B126" s="69"/>
      <c r="C126" s="24" t="s">
        <v>26</v>
      </c>
      <c r="D126" s="70" t="s">
        <v>32</v>
      </c>
      <c r="E126" s="25" t="s">
        <v>54</v>
      </c>
      <c r="F126" s="69"/>
      <c r="G126" s="26">
        <v>20</v>
      </c>
      <c r="H126" s="71"/>
      <c r="I126" s="69"/>
      <c r="L126" s="26"/>
      <c r="M126" s="26"/>
      <c r="N126" s="72"/>
    </row>
    <row r="127" spans="1:18" x14ac:dyDescent="0.25">
      <c r="A127" s="27"/>
      <c r="B127" s="28"/>
      <c r="C127" s="24" t="s">
        <v>26</v>
      </c>
      <c r="D127" s="29" t="s">
        <v>32</v>
      </c>
      <c r="E127" s="136" t="s">
        <v>48</v>
      </c>
      <c r="F127" s="28"/>
      <c r="G127" s="30">
        <v>31.5</v>
      </c>
      <c r="H127" s="31"/>
      <c r="I127" s="28"/>
      <c r="L127" s="117"/>
      <c r="M127" s="117"/>
      <c r="N127" s="118"/>
    </row>
    <row r="128" spans="1:18" ht="24" x14ac:dyDescent="0.25">
      <c r="A128" s="2"/>
      <c r="B128" s="80" t="s">
        <v>181</v>
      </c>
      <c r="C128" s="80" t="s">
        <v>23</v>
      </c>
      <c r="D128" s="81">
        <v>591241111</v>
      </c>
      <c r="E128" s="81" t="s">
        <v>182</v>
      </c>
      <c r="F128" s="82" t="s">
        <v>25</v>
      </c>
      <c r="G128" s="83">
        <v>21.6</v>
      </c>
      <c r="H128" s="84">
        <v>550</v>
      </c>
      <c r="I128" s="85">
        <f>ROUND(H128*G128,2)</f>
        <v>11880</v>
      </c>
      <c r="L128" s="22">
        <f>M128-G128</f>
        <v>19.399999999999999</v>
      </c>
      <c r="M128" s="22">
        <f>L129</f>
        <v>41</v>
      </c>
      <c r="N128" s="23">
        <f>ROUND(L128*H128,2)</f>
        <v>10670</v>
      </c>
      <c r="P128" s="64">
        <v>0.19536000000000001</v>
      </c>
      <c r="Q128" s="64">
        <f>P128*L128</f>
        <v>3.789984</v>
      </c>
    </row>
    <row r="129" spans="1:18" x14ac:dyDescent="0.25">
      <c r="A129" s="69"/>
      <c r="B129" s="69"/>
      <c r="C129" s="24" t="s">
        <v>26</v>
      </c>
      <c r="D129" s="70" t="s">
        <v>32</v>
      </c>
      <c r="E129" s="25" t="s">
        <v>146</v>
      </c>
      <c r="F129" s="69"/>
      <c r="G129" s="26">
        <v>21.6</v>
      </c>
      <c r="H129" s="71"/>
      <c r="I129" s="69"/>
      <c r="L129" s="30">
        <v>41</v>
      </c>
      <c r="M129" s="26" t="s">
        <v>359</v>
      </c>
      <c r="N129" s="26"/>
    </row>
    <row r="130" spans="1:18" x14ac:dyDescent="0.25">
      <c r="A130" s="2"/>
      <c r="B130" s="86" t="s">
        <v>183</v>
      </c>
      <c r="C130" s="86" t="s">
        <v>102</v>
      </c>
      <c r="D130" s="87">
        <v>58381007</v>
      </c>
      <c r="E130" s="87" t="s">
        <v>184</v>
      </c>
      <c r="F130" s="88" t="s">
        <v>25</v>
      </c>
      <c r="G130" s="89">
        <v>17.187000000000001</v>
      </c>
      <c r="H130" s="90">
        <v>300</v>
      </c>
      <c r="I130" s="91">
        <f>ROUND(H130*G130,2)</f>
        <v>5156.1000000000004</v>
      </c>
      <c r="L130" s="143">
        <f>M130-G130</f>
        <v>19.532999999999998</v>
      </c>
      <c r="M130" s="144">
        <f>L132</f>
        <v>36.72</v>
      </c>
      <c r="N130" s="23">
        <f>ROUND(L130*H130,2)</f>
        <v>5859.9</v>
      </c>
      <c r="P130" s="64">
        <v>0.222</v>
      </c>
      <c r="Q130" s="64">
        <f>P130*L130</f>
        <v>4.3363259999999997</v>
      </c>
    </row>
    <row r="131" spans="1:18" ht="22.5" x14ac:dyDescent="0.25">
      <c r="A131" s="69"/>
      <c r="B131" s="69"/>
      <c r="C131" s="24" t="s">
        <v>26</v>
      </c>
      <c r="D131" s="70" t="s">
        <v>32</v>
      </c>
      <c r="E131" s="25" t="s">
        <v>185</v>
      </c>
      <c r="F131" s="69"/>
      <c r="G131" s="26">
        <v>16.850000000000001</v>
      </c>
      <c r="H131" s="71"/>
      <c r="I131" s="69"/>
      <c r="L131" s="30">
        <v>36</v>
      </c>
      <c r="M131" s="30" t="s">
        <v>364</v>
      </c>
      <c r="N131" s="72"/>
    </row>
    <row r="132" spans="1:18" x14ac:dyDescent="0.25">
      <c r="A132" s="69"/>
      <c r="B132" s="69"/>
      <c r="C132" s="24" t="s">
        <v>26</v>
      </c>
      <c r="D132" s="69"/>
      <c r="E132" s="25" t="s">
        <v>186</v>
      </c>
      <c r="F132" s="69"/>
      <c r="G132" s="26">
        <v>17.187000000000001</v>
      </c>
      <c r="H132" s="71"/>
      <c r="I132" s="69"/>
      <c r="L132" s="26">
        <f>L131*1.02</f>
        <v>36.72</v>
      </c>
      <c r="M132" s="26"/>
      <c r="N132" s="72"/>
    </row>
    <row r="133" spans="1:18" x14ac:dyDescent="0.25">
      <c r="A133" s="2"/>
      <c r="B133" s="86" t="s">
        <v>187</v>
      </c>
      <c r="C133" s="86" t="s">
        <v>102</v>
      </c>
      <c r="D133" s="93" t="s">
        <v>188</v>
      </c>
      <c r="E133" s="87" t="s">
        <v>189</v>
      </c>
      <c r="F133" s="88" t="s">
        <v>25</v>
      </c>
      <c r="G133" s="89">
        <v>4.8449999999999998</v>
      </c>
      <c r="H133" s="90">
        <v>2551</v>
      </c>
      <c r="I133" s="91">
        <f>ROUND(H133*G133,2)</f>
        <v>12359.6</v>
      </c>
      <c r="L133" s="22">
        <f>M133-G133</f>
        <v>0.25499999999999989</v>
      </c>
      <c r="M133" s="144">
        <f>L135</f>
        <v>5.0999999999999996</v>
      </c>
      <c r="N133" s="23">
        <f>ROUND(L133*H133,2)</f>
        <v>650.51</v>
      </c>
      <c r="P133" s="64">
        <v>0.222</v>
      </c>
      <c r="Q133" s="64">
        <f>P133*L133</f>
        <v>5.660999999999998E-2</v>
      </c>
    </row>
    <row r="134" spans="1:18" x14ac:dyDescent="0.25">
      <c r="A134" s="69"/>
      <c r="B134" s="69"/>
      <c r="C134" s="24" t="s">
        <v>26</v>
      </c>
      <c r="D134" s="70" t="s">
        <v>32</v>
      </c>
      <c r="E134" s="25" t="s">
        <v>190</v>
      </c>
      <c r="F134" s="69"/>
      <c r="G134" s="26">
        <v>4.75</v>
      </c>
      <c r="H134" s="71"/>
      <c r="I134" s="69"/>
      <c r="L134" s="30">
        <v>5</v>
      </c>
      <c r="M134" s="30" t="s">
        <v>363</v>
      </c>
      <c r="N134" s="30"/>
    </row>
    <row r="135" spans="1:18" x14ac:dyDescent="0.25">
      <c r="A135" s="69"/>
      <c r="B135" s="69"/>
      <c r="C135" s="24" t="s">
        <v>26</v>
      </c>
      <c r="D135" s="69"/>
      <c r="E135" s="25" t="s">
        <v>191</v>
      </c>
      <c r="F135" s="69"/>
      <c r="G135" s="26">
        <v>4.8449999999999998</v>
      </c>
      <c r="H135" s="71"/>
      <c r="I135" s="69"/>
      <c r="L135" s="26">
        <f>L134*1.02</f>
        <v>5.0999999999999996</v>
      </c>
      <c r="M135" s="26"/>
      <c r="N135" s="72"/>
    </row>
    <row r="136" spans="1:18" ht="24" x14ac:dyDescent="0.25">
      <c r="A136" s="2"/>
      <c r="B136" s="80" t="s">
        <v>192</v>
      </c>
      <c r="C136" s="80" t="s">
        <v>23</v>
      </c>
      <c r="D136" s="81">
        <v>596211113</v>
      </c>
      <c r="E136" s="81" t="s">
        <v>193</v>
      </c>
      <c r="F136" s="82" t="s">
        <v>25</v>
      </c>
      <c r="G136" s="83">
        <v>375.2</v>
      </c>
      <c r="H136" s="84">
        <v>285</v>
      </c>
      <c r="I136" s="85">
        <f>ROUND(H136*G136,2)</f>
        <v>106932</v>
      </c>
      <c r="L136" s="134">
        <f>M136-G136</f>
        <v>-12.5</v>
      </c>
      <c r="M136" s="134">
        <f>L137+G138</f>
        <v>362.7</v>
      </c>
      <c r="N136" s="135">
        <f>ROUND(L136*H136,2)</f>
        <v>-3562.5</v>
      </c>
      <c r="P136" s="64">
        <v>8.4250000000000005E-2</v>
      </c>
      <c r="Q136" s="64">
        <f>P136*L136</f>
        <v>-1.0531250000000001</v>
      </c>
    </row>
    <row r="137" spans="1:18" ht="15" customHeight="1" x14ac:dyDescent="0.25">
      <c r="A137" s="69"/>
      <c r="B137" s="69"/>
      <c r="C137" s="24" t="s">
        <v>26</v>
      </c>
      <c r="D137" s="70" t="s">
        <v>32</v>
      </c>
      <c r="E137" s="25" t="s">
        <v>194</v>
      </c>
      <c r="F137" s="69"/>
      <c r="G137" s="26">
        <v>373.95</v>
      </c>
      <c r="H137" s="71"/>
      <c r="I137" s="69"/>
      <c r="L137" s="26">
        <f>352+G144</f>
        <v>361.45</v>
      </c>
      <c r="M137" s="130" t="s">
        <v>354</v>
      </c>
      <c r="N137" s="130"/>
      <c r="R137" s="131" t="s">
        <v>421</v>
      </c>
    </row>
    <row r="138" spans="1:18" x14ac:dyDescent="0.25">
      <c r="A138" s="69"/>
      <c r="B138" s="69"/>
      <c r="C138" s="24" t="s">
        <v>26</v>
      </c>
      <c r="D138" s="70" t="s">
        <v>32</v>
      </c>
      <c r="E138" s="25" t="s">
        <v>195</v>
      </c>
      <c r="F138" s="69"/>
      <c r="G138" s="26">
        <v>1.25</v>
      </c>
      <c r="H138" s="71"/>
      <c r="I138" s="69"/>
      <c r="L138" s="26"/>
      <c r="M138" s="26"/>
      <c r="N138" s="72"/>
      <c r="R138" t="s">
        <v>442</v>
      </c>
    </row>
    <row r="139" spans="1:18" x14ac:dyDescent="0.25">
      <c r="A139" s="27"/>
      <c r="B139" s="28"/>
      <c r="C139" s="24" t="s">
        <v>26</v>
      </c>
      <c r="D139" s="29" t="s">
        <v>32</v>
      </c>
      <c r="E139" s="136" t="s">
        <v>48</v>
      </c>
      <c r="F139" s="28"/>
      <c r="G139" s="30">
        <v>375.2</v>
      </c>
      <c r="H139" s="31"/>
      <c r="I139" s="28"/>
      <c r="L139" s="117"/>
      <c r="M139" s="117"/>
      <c r="N139" s="118"/>
    </row>
    <row r="140" spans="1:18" ht="24" x14ac:dyDescent="0.25">
      <c r="A140" s="2"/>
      <c r="B140" s="86" t="s">
        <v>196</v>
      </c>
      <c r="C140" s="86" t="s">
        <v>102</v>
      </c>
      <c r="D140" s="87">
        <v>59245018</v>
      </c>
      <c r="E140" s="87" t="s">
        <v>197</v>
      </c>
      <c r="F140" s="88" t="s">
        <v>25</v>
      </c>
      <c r="G140" s="89">
        <v>371.79</v>
      </c>
      <c r="H140" s="90">
        <v>237.68</v>
      </c>
      <c r="I140" s="91">
        <f>ROUND(H140*G140,2)</f>
        <v>88367.05</v>
      </c>
      <c r="L140" s="134">
        <f>M140-G140</f>
        <v>-12.75</v>
      </c>
      <c r="M140" s="134">
        <f>L142</f>
        <v>359.04</v>
      </c>
      <c r="N140" s="135">
        <f>ROUND(L140*H140,2)</f>
        <v>-3030.42</v>
      </c>
      <c r="P140" s="64">
        <v>0.13100000000000001</v>
      </c>
      <c r="Q140" s="64">
        <f>P140*L140</f>
        <v>-1.67025</v>
      </c>
    </row>
    <row r="141" spans="1:18" x14ac:dyDescent="0.25">
      <c r="A141" s="69"/>
      <c r="B141" s="69"/>
      <c r="C141" s="24" t="s">
        <v>26</v>
      </c>
      <c r="D141" s="70" t="s">
        <v>32</v>
      </c>
      <c r="E141" s="25" t="s">
        <v>142</v>
      </c>
      <c r="F141" s="69"/>
      <c r="G141" s="26">
        <v>364.5</v>
      </c>
      <c r="H141" s="71"/>
      <c r="I141" s="69"/>
      <c r="L141" s="30">
        <v>352</v>
      </c>
      <c r="M141" s="25" t="s">
        <v>142</v>
      </c>
      <c r="N141" s="72"/>
    </row>
    <row r="142" spans="1:18" x14ac:dyDescent="0.25">
      <c r="A142" s="69"/>
      <c r="B142" s="69"/>
      <c r="C142" s="24" t="s">
        <v>26</v>
      </c>
      <c r="D142" s="69"/>
      <c r="E142" s="25" t="s">
        <v>198</v>
      </c>
      <c r="F142" s="69"/>
      <c r="G142" s="26">
        <v>371.79</v>
      </c>
      <c r="H142" s="71"/>
      <c r="I142" s="69"/>
      <c r="L142" s="26">
        <f>352*1.02</f>
        <v>359.04</v>
      </c>
      <c r="M142" s="26" t="s">
        <v>355</v>
      </c>
      <c r="N142" s="26"/>
    </row>
    <row r="143" spans="1:18" ht="24" x14ac:dyDescent="0.25">
      <c r="A143" s="2"/>
      <c r="B143" s="94" t="s">
        <v>199</v>
      </c>
      <c r="C143" s="86" t="s">
        <v>102</v>
      </c>
      <c r="D143" s="87">
        <v>59245006</v>
      </c>
      <c r="E143" s="87" t="s">
        <v>200</v>
      </c>
      <c r="F143" s="88" t="s">
        <v>25</v>
      </c>
      <c r="G143" s="89">
        <v>9.6389999999999993</v>
      </c>
      <c r="H143" s="90">
        <v>427.81</v>
      </c>
      <c r="I143" s="91">
        <f>ROUND(H143*G143,2)</f>
        <v>4123.66</v>
      </c>
      <c r="L143" s="22">
        <v>0</v>
      </c>
      <c r="M143" s="22">
        <f>G143+L143</f>
        <v>9.6389999999999993</v>
      </c>
      <c r="N143" s="23">
        <f>ROUND(L143*H143,2)</f>
        <v>0</v>
      </c>
      <c r="P143" s="64">
        <v>0.13100000000000001</v>
      </c>
      <c r="Q143" s="64">
        <f>P143*L143</f>
        <v>0</v>
      </c>
    </row>
    <row r="144" spans="1:18" x14ac:dyDescent="0.25">
      <c r="A144" s="69"/>
      <c r="B144" s="69"/>
      <c r="C144" s="24" t="s">
        <v>26</v>
      </c>
      <c r="D144" s="70" t="s">
        <v>32</v>
      </c>
      <c r="E144" s="25" t="s">
        <v>144</v>
      </c>
      <c r="F144" s="69"/>
      <c r="G144" s="26">
        <v>9.4499999999999993</v>
      </c>
      <c r="H144" s="71"/>
      <c r="I144" s="69"/>
      <c r="L144" s="26"/>
      <c r="M144" s="26"/>
      <c r="N144" s="72"/>
    </row>
    <row r="145" spans="1:18" x14ac:dyDescent="0.25">
      <c r="A145" s="69"/>
      <c r="B145" s="69"/>
      <c r="C145" s="24" t="s">
        <v>26</v>
      </c>
      <c r="D145" s="69"/>
      <c r="E145" s="25" t="s">
        <v>201</v>
      </c>
      <c r="F145" s="69"/>
      <c r="G145" s="26">
        <v>9.6389999999999993</v>
      </c>
      <c r="H145" s="71"/>
      <c r="I145" s="69"/>
      <c r="L145" s="26"/>
      <c r="M145" s="26"/>
      <c r="N145" s="72"/>
    </row>
    <row r="146" spans="1:18" ht="24" x14ac:dyDescent="0.25">
      <c r="A146" s="2"/>
      <c r="B146" s="86" t="s">
        <v>202</v>
      </c>
      <c r="C146" s="86" t="s">
        <v>102</v>
      </c>
      <c r="D146" s="87">
        <v>23241002</v>
      </c>
      <c r="E146" s="87" t="s">
        <v>203</v>
      </c>
      <c r="F146" s="88" t="s">
        <v>135</v>
      </c>
      <c r="G146" s="89">
        <v>5</v>
      </c>
      <c r="H146" s="90">
        <v>454</v>
      </c>
      <c r="I146" s="91">
        <f>ROUND(H146*G146,2)</f>
        <v>2270</v>
      </c>
      <c r="L146" s="22">
        <v>0</v>
      </c>
      <c r="M146" s="22">
        <f>L146+G146</f>
        <v>5</v>
      </c>
      <c r="N146" s="23">
        <f>ROUND(L146*H146,2)</f>
        <v>0</v>
      </c>
      <c r="P146" s="64">
        <v>1.42E-3</v>
      </c>
      <c r="Q146" s="64">
        <f>P146*L146</f>
        <v>0</v>
      </c>
    </row>
    <row r="147" spans="1:18" x14ac:dyDescent="0.25">
      <c r="A147" s="69"/>
      <c r="B147" s="69"/>
      <c r="C147" s="24" t="s">
        <v>26</v>
      </c>
      <c r="D147" s="70" t="s">
        <v>32</v>
      </c>
      <c r="E147" s="25" t="s">
        <v>204</v>
      </c>
      <c r="F147" s="69"/>
      <c r="G147" s="26">
        <v>5</v>
      </c>
      <c r="H147" s="71"/>
      <c r="I147" s="69"/>
      <c r="L147" s="26"/>
      <c r="M147" s="26"/>
      <c r="N147" s="72"/>
    </row>
    <row r="148" spans="1:18" ht="36" x14ac:dyDescent="0.25">
      <c r="A148" s="2"/>
      <c r="B148" s="80" t="s">
        <v>205</v>
      </c>
      <c r="C148" s="80" t="s">
        <v>23</v>
      </c>
      <c r="D148" s="81">
        <v>596212211</v>
      </c>
      <c r="E148" s="81" t="s">
        <v>206</v>
      </c>
      <c r="F148" s="82" t="s">
        <v>25</v>
      </c>
      <c r="G148" s="83">
        <v>92.5</v>
      </c>
      <c r="H148" s="96">
        <v>295</v>
      </c>
      <c r="I148" s="85">
        <f>ROUND(H148*G148,2)</f>
        <v>27287.5</v>
      </c>
      <c r="L148" s="22">
        <f>M148-G148</f>
        <v>76</v>
      </c>
      <c r="M148" s="22">
        <f>L149</f>
        <v>168.5</v>
      </c>
      <c r="N148" s="23">
        <f>ROUND(L148*H148,2)</f>
        <v>22420</v>
      </c>
      <c r="P148" s="64">
        <v>0.10362</v>
      </c>
      <c r="Q148" s="64">
        <f>P148*L148</f>
        <v>7.8751199999999999</v>
      </c>
      <c r="R148">
        <v>46.65</v>
      </c>
    </row>
    <row r="149" spans="1:18" x14ac:dyDescent="0.25">
      <c r="A149" s="69"/>
      <c r="B149" s="69"/>
      <c r="C149" s="24" t="s">
        <v>26</v>
      </c>
      <c r="D149" s="70" t="s">
        <v>32</v>
      </c>
      <c r="E149" s="25" t="s">
        <v>207</v>
      </c>
      <c r="F149" s="69"/>
      <c r="G149" s="26">
        <v>92.5</v>
      </c>
      <c r="H149" s="71"/>
      <c r="I149" s="69"/>
      <c r="L149" s="26">
        <f>L151+G154</f>
        <v>168.5</v>
      </c>
      <c r="M149" s="26" t="s">
        <v>368</v>
      </c>
      <c r="N149" s="26"/>
      <c r="R149" t="s">
        <v>443</v>
      </c>
    </row>
    <row r="150" spans="1:18" ht="24" x14ac:dyDescent="0.25">
      <c r="A150" s="2"/>
      <c r="B150" s="94" t="s">
        <v>208</v>
      </c>
      <c r="C150" s="86" t="s">
        <v>102</v>
      </c>
      <c r="D150" s="87">
        <v>59245020</v>
      </c>
      <c r="E150" s="87" t="s">
        <v>209</v>
      </c>
      <c r="F150" s="88" t="s">
        <v>25</v>
      </c>
      <c r="G150" s="89">
        <v>81.599999999999994</v>
      </c>
      <c r="H150" s="145">
        <v>293.91000000000003</v>
      </c>
      <c r="I150" s="91">
        <f>ROUND(H150*G150,2)</f>
        <v>23983.06</v>
      </c>
      <c r="L150" s="22">
        <f>M150-G150</f>
        <v>77.52000000000001</v>
      </c>
      <c r="M150" s="22">
        <f>L152</f>
        <v>159.12</v>
      </c>
      <c r="N150" s="23">
        <f>ROUND(L150*H150,2)</f>
        <v>22783.9</v>
      </c>
      <c r="P150" s="64">
        <v>0.17599999999999999</v>
      </c>
      <c r="Q150" s="64">
        <f>P150*L150</f>
        <v>13.643520000000001</v>
      </c>
      <c r="R150" t="s">
        <v>444</v>
      </c>
    </row>
    <row r="151" spans="1:18" ht="15" customHeight="1" x14ac:dyDescent="0.25">
      <c r="A151" s="69"/>
      <c r="B151" s="69"/>
      <c r="C151" s="24" t="s">
        <v>26</v>
      </c>
      <c r="D151" s="70" t="s">
        <v>32</v>
      </c>
      <c r="E151" s="25" t="s">
        <v>153</v>
      </c>
      <c r="F151" s="69"/>
      <c r="G151" s="26">
        <v>80</v>
      </c>
      <c r="H151" s="71"/>
      <c r="I151" s="69"/>
      <c r="L151" s="30">
        <f>141+15</f>
        <v>156</v>
      </c>
      <c r="M151" s="69" t="s">
        <v>367</v>
      </c>
      <c r="N151" s="69"/>
    </row>
    <row r="152" spans="1:18" x14ac:dyDescent="0.25">
      <c r="A152" s="69"/>
      <c r="B152" s="69"/>
      <c r="C152" s="24" t="s">
        <v>26</v>
      </c>
      <c r="D152" s="69"/>
      <c r="E152" s="25" t="s">
        <v>210</v>
      </c>
      <c r="F152" s="69"/>
      <c r="G152" s="26">
        <v>81.599999999999994</v>
      </c>
      <c r="H152" s="71"/>
      <c r="I152" s="69"/>
      <c r="L152" s="30">
        <f>L151*1.02</f>
        <v>159.12</v>
      </c>
      <c r="M152" s="26"/>
      <c r="N152" s="72"/>
    </row>
    <row r="153" spans="1:18" ht="24" x14ac:dyDescent="0.25">
      <c r="A153" s="2"/>
      <c r="B153" s="86" t="s">
        <v>211</v>
      </c>
      <c r="C153" s="86" t="s">
        <v>102</v>
      </c>
      <c r="D153" s="87">
        <v>59245226</v>
      </c>
      <c r="E153" s="87" t="s">
        <v>212</v>
      </c>
      <c r="F153" s="88" t="s">
        <v>25</v>
      </c>
      <c r="G153" s="89">
        <v>12.75</v>
      </c>
      <c r="H153" s="145">
        <v>441.2</v>
      </c>
      <c r="I153" s="91">
        <f>ROUND(H153*G153,2)</f>
        <v>5625.3</v>
      </c>
      <c r="L153" s="22">
        <v>0</v>
      </c>
      <c r="M153" s="22">
        <f>L153+G153</f>
        <v>12.75</v>
      </c>
      <c r="N153" s="23">
        <f>ROUND(L153*H153,2)</f>
        <v>0</v>
      </c>
      <c r="P153" s="64">
        <v>0.17499999999999999</v>
      </c>
      <c r="Q153" s="64">
        <f>P153*L153</f>
        <v>0</v>
      </c>
    </row>
    <row r="154" spans="1:18" x14ac:dyDescent="0.25">
      <c r="A154" s="69"/>
      <c r="B154" s="69"/>
      <c r="C154" s="24" t="s">
        <v>26</v>
      </c>
      <c r="D154" s="70" t="s">
        <v>32</v>
      </c>
      <c r="E154" s="25" t="s">
        <v>155</v>
      </c>
      <c r="F154" s="69"/>
      <c r="G154" s="26">
        <v>12.5</v>
      </c>
      <c r="H154" s="71"/>
      <c r="I154" s="69"/>
      <c r="L154" s="26"/>
      <c r="M154" s="26"/>
      <c r="N154" s="72"/>
    </row>
    <row r="155" spans="1:18" x14ac:dyDescent="0.25">
      <c r="A155" s="69"/>
      <c r="B155" s="69"/>
      <c r="C155" s="24" t="s">
        <v>26</v>
      </c>
      <c r="D155" s="69"/>
      <c r="E155" s="25" t="s">
        <v>213</v>
      </c>
      <c r="F155" s="69"/>
      <c r="G155" s="26">
        <v>12.75</v>
      </c>
      <c r="H155" s="71"/>
      <c r="I155" s="69"/>
      <c r="L155" s="26"/>
      <c r="M155" s="26"/>
      <c r="N155" s="72"/>
    </row>
    <row r="156" spans="1:18" ht="24" x14ac:dyDescent="0.25">
      <c r="A156" s="2"/>
      <c r="B156" s="80" t="s">
        <v>214</v>
      </c>
      <c r="C156" s="80" t="s">
        <v>23</v>
      </c>
      <c r="D156" s="81">
        <v>596412212</v>
      </c>
      <c r="E156" s="81" t="s">
        <v>215</v>
      </c>
      <c r="F156" s="82" t="s">
        <v>25</v>
      </c>
      <c r="G156" s="83">
        <v>261.89999999999998</v>
      </c>
      <c r="H156" s="84">
        <v>275</v>
      </c>
      <c r="I156" s="85">
        <f>ROUND(H156*G156,2)</f>
        <v>72022.5</v>
      </c>
      <c r="L156" s="134">
        <f>M156-G156</f>
        <v>-8.8999999999999773</v>
      </c>
      <c r="M156" s="134">
        <f>L157</f>
        <v>253</v>
      </c>
      <c r="N156" s="135">
        <f>ROUND(L156*H156,2)</f>
        <v>-2447.5</v>
      </c>
      <c r="P156" s="64">
        <v>9.8000000000000004E-2</v>
      </c>
      <c r="Q156" s="64">
        <f>P156*L156</f>
        <v>-0.87219999999999775</v>
      </c>
    </row>
    <row r="157" spans="1:18" x14ac:dyDescent="0.25">
      <c r="A157" s="69"/>
      <c r="B157" s="69"/>
      <c r="C157" s="24" t="s">
        <v>26</v>
      </c>
      <c r="D157" s="70" t="s">
        <v>32</v>
      </c>
      <c r="E157" s="25" t="s">
        <v>157</v>
      </c>
      <c r="F157" s="69"/>
      <c r="G157" s="26">
        <v>261.89999999999998</v>
      </c>
      <c r="H157" s="71"/>
      <c r="I157" s="69"/>
      <c r="L157" s="30">
        <v>253</v>
      </c>
      <c r="M157" s="129" t="s">
        <v>157</v>
      </c>
      <c r="N157" s="129"/>
    </row>
    <row r="158" spans="1:18" ht="24" x14ac:dyDescent="0.25">
      <c r="A158" s="2"/>
      <c r="B158" s="86" t="s">
        <v>216</v>
      </c>
      <c r="C158" s="86" t="s">
        <v>102</v>
      </c>
      <c r="D158" s="87">
        <v>59246016</v>
      </c>
      <c r="E158" s="87" t="s">
        <v>217</v>
      </c>
      <c r="F158" s="88" t="s">
        <v>25</v>
      </c>
      <c r="G158" s="89">
        <v>267.13799999999998</v>
      </c>
      <c r="H158" s="90">
        <v>275.25</v>
      </c>
      <c r="I158" s="91">
        <f>ROUND(H158*G158,2)</f>
        <v>73529.73</v>
      </c>
      <c r="L158" s="134">
        <f>M158-G158</f>
        <v>-9.0779999999999745</v>
      </c>
      <c r="M158" s="134">
        <f>L159</f>
        <v>258.06</v>
      </c>
      <c r="N158" s="135">
        <f>ROUND(L158*H158,2)</f>
        <v>-2498.7199999999998</v>
      </c>
      <c r="P158" s="64">
        <v>2.7E-2</v>
      </c>
      <c r="Q158" s="64">
        <f>P158*L158</f>
        <v>-0.2451059999999993</v>
      </c>
    </row>
    <row r="159" spans="1:18" x14ac:dyDescent="0.25">
      <c r="A159" s="69"/>
      <c r="B159" s="69"/>
      <c r="C159" s="24" t="s">
        <v>26</v>
      </c>
      <c r="D159" s="69"/>
      <c r="E159" s="25" t="s">
        <v>218</v>
      </c>
      <c r="F159" s="69"/>
      <c r="G159" s="26">
        <v>267.13799999999998</v>
      </c>
      <c r="H159" s="71"/>
      <c r="I159" s="69"/>
      <c r="L159" s="26">
        <f>253*1.02</f>
        <v>258.06</v>
      </c>
      <c r="M159" s="73" t="s">
        <v>356</v>
      </c>
      <c r="N159" s="73"/>
    </row>
    <row r="160" spans="1:18" ht="24" x14ac:dyDescent="0.25">
      <c r="A160" s="2"/>
      <c r="B160" s="80" t="s">
        <v>219</v>
      </c>
      <c r="C160" s="80" t="s">
        <v>23</v>
      </c>
      <c r="D160" s="81">
        <v>596991112</v>
      </c>
      <c r="E160" s="81" t="s">
        <v>220</v>
      </c>
      <c r="F160" s="82" t="s">
        <v>135</v>
      </c>
      <c r="G160" s="83">
        <v>19.5</v>
      </c>
      <c r="H160" s="84">
        <v>300</v>
      </c>
      <c r="I160" s="85">
        <f>ROUND(H160*G160,2)</f>
        <v>5850</v>
      </c>
      <c r="L160" s="22">
        <v>0</v>
      </c>
      <c r="M160" s="22">
        <f>L160+G160</f>
        <v>19.5</v>
      </c>
      <c r="N160" s="23">
        <f>ROUND(L160*H160,2)</f>
        <v>0</v>
      </c>
      <c r="P160" s="64">
        <v>1.0000000000000001E-5</v>
      </c>
      <c r="Q160" s="64">
        <f>P160*L160</f>
        <v>0</v>
      </c>
    </row>
    <row r="161" spans="1:17" x14ac:dyDescent="0.25">
      <c r="A161" s="69"/>
      <c r="B161" s="69"/>
      <c r="C161" s="24" t="s">
        <v>26</v>
      </c>
      <c r="D161" s="70" t="s">
        <v>32</v>
      </c>
      <c r="E161" s="25" t="s">
        <v>221</v>
      </c>
      <c r="F161" s="69"/>
      <c r="G161" s="26">
        <v>19.5</v>
      </c>
      <c r="H161" s="71"/>
      <c r="I161" s="69"/>
      <c r="L161" s="26"/>
      <c r="M161" s="26"/>
      <c r="N161" s="72"/>
    </row>
    <row r="162" spans="1:17" x14ac:dyDescent="0.25">
      <c r="A162" s="14"/>
      <c r="B162" s="15"/>
      <c r="C162" s="16" t="s">
        <v>18</v>
      </c>
      <c r="D162" s="20">
        <v>9</v>
      </c>
      <c r="E162" s="20" t="s">
        <v>222</v>
      </c>
      <c r="F162" s="15"/>
      <c r="G162" s="15"/>
      <c r="H162" s="18"/>
      <c r="I162" s="21">
        <f>SUM(I163:I232)</f>
        <v>711806.59000000008</v>
      </c>
      <c r="L162" s="122"/>
      <c r="M162" s="122"/>
      <c r="N162" s="123">
        <f>SUM(N163:N232)</f>
        <v>19617.260000000002</v>
      </c>
    </row>
    <row r="163" spans="1:17" ht="24" x14ac:dyDescent="0.25">
      <c r="A163" s="2"/>
      <c r="B163" s="80" t="s">
        <v>223</v>
      </c>
      <c r="C163" s="80" t="s">
        <v>23</v>
      </c>
      <c r="D163" s="81">
        <v>914111111</v>
      </c>
      <c r="E163" s="81" t="s">
        <v>224</v>
      </c>
      <c r="F163" s="82" t="s">
        <v>31</v>
      </c>
      <c r="G163" s="83">
        <v>16</v>
      </c>
      <c r="H163" s="84">
        <v>840</v>
      </c>
      <c r="I163" s="85">
        <f>ROUND(H163*G163,2)</f>
        <v>13440</v>
      </c>
      <c r="L163" s="134">
        <f>M163-G163</f>
        <v>-1</v>
      </c>
      <c r="M163" s="134">
        <v>15</v>
      </c>
      <c r="N163" s="135">
        <f t="shared" ref="N163:N164" si="4">ROUND(L163*H163,2)</f>
        <v>-840</v>
      </c>
      <c r="P163" s="64">
        <v>6.9999999999999999E-4</v>
      </c>
      <c r="Q163" s="64">
        <f t="shared" ref="Q163:Q164" si="5">P163*L163</f>
        <v>-6.9999999999999999E-4</v>
      </c>
    </row>
    <row r="164" spans="1:17" ht="24" x14ac:dyDescent="0.25">
      <c r="A164" s="2"/>
      <c r="B164" s="86" t="s">
        <v>225</v>
      </c>
      <c r="C164" s="86" t="s">
        <v>102</v>
      </c>
      <c r="D164" s="87">
        <v>40445611</v>
      </c>
      <c r="E164" s="87" t="s">
        <v>226</v>
      </c>
      <c r="F164" s="88" t="s">
        <v>31</v>
      </c>
      <c r="G164" s="89">
        <v>1</v>
      </c>
      <c r="H164" s="90">
        <v>740</v>
      </c>
      <c r="I164" s="91">
        <f>ROUND(H164*G164,2)</f>
        <v>740</v>
      </c>
      <c r="L164" s="22">
        <v>0</v>
      </c>
      <c r="M164" s="22">
        <f>L164+G164</f>
        <v>1</v>
      </c>
      <c r="N164" s="23">
        <f t="shared" si="4"/>
        <v>0</v>
      </c>
      <c r="P164" s="64">
        <v>2.5000000000000001E-3</v>
      </c>
      <c r="Q164" s="64">
        <f t="shared" si="5"/>
        <v>0</v>
      </c>
    </row>
    <row r="165" spans="1:17" x14ac:dyDescent="0.25">
      <c r="A165" s="69"/>
      <c r="B165" s="69"/>
      <c r="C165" s="24" t="s">
        <v>26</v>
      </c>
      <c r="D165" s="70" t="s">
        <v>32</v>
      </c>
      <c r="E165" s="25" t="s">
        <v>227</v>
      </c>
      <c r="F165" s="69"/>
      <c r="G165" s="26">
        <v>1</v>
      </c>
      <c r="H165" s="71"/>
      <c r="I165" s="69"/>
      <c r="L165" s="26"/>
      <c r="M165" s="26"/>
      <c r="N165" s="72"/>
    </row>
    <row r="166" spans="1:17" x14ac:dyDescent="0.25">
      <c r="A166" s="2"/>
      <c r="B166" s="86" t="s">
        <v>228</v>
      </c>
      <c r="C166" s="86" t="s">
        <v>102</v>
      </c>
      <c r="D166" s="87">
        <v>40445615</v>
      </c>
      <c r="E166" s="87" t="s">
        <v>229</v>
      </c>
      <c r="F166" s="88" t="s">
        <v>31</v>
      </c>
      <c r="G166" s="89">
        <v>2</v>
      </c>
      <c r="H166" s="90">
        <v>1105</v>
      </c>
      <c r="I166" s="91">
        <f>ROUND(H166*G166,2)</f>
        <v>2210</v>
      </c>
      <c r="L166" s="134">
        <f>M166-G166</f>
        <v>-1</v>
      </c>
      <c r="M166" s="134">
        <v>1</v>
      </c>
      <c r="N166" s="135">
        <f>ROUND(L166*H166,2)</f>
        <v>-1105</v>
      </c>
      <c r="P166" s="64">
        <v>5.0000000000000001E-3</v>
      </c>
      <c r="Q166" s="64">
        <f>P166*L166</f>
        <v>-5.0000000000000001E-3</v>
      </c>
    </row>
    <row r="167" spans="1:17" x14ac:dyDescent="0.25">
      <c r="A167" s="69"/>
      <c r="B167" s="69"/>
      <c r="C167" s="24" t="s">
        <v>26</v>
      </c>
      <c r="D167" s="70" t="s">
        <v>32</v>
      </c>
      <c r="E167" s="25" t="s">
        <v>230</v>
      </c>
      <c r="F167" s="69"/>
      <c r="G167" s="26">
        <v>2</v>
      </c>
      <c r="H167" s="71"/>
      <c r="I167" s="69"/>
      <c r="L167" s="26"/>
      <c r="M167" s="26"/>
      <c r="N167" s="72"/>
    </row>
    <row r="168" spans="1:17" ht="24" x14ac:dyDescent="0.25">
      <c r="A168" s="2"/>
      <c r="B168" s="86" t="s">
        <v>231</v>
      </c>
      <c r="C168" s="86" t="s">
        <v>102</v>
      </c>
      <c r="D168" s="87">
        <v>40445619</v>
      </c>
      <c r="E168" s="87" t="s">
        <v>232</v>
      </c>
      <c r="F168" s="88" t="s">
        <v>31</v>
      </c>
      <c r="G168" s="89">
        <v>4</v>
      </c>
      <c r="H168" s="90">
        <v>1131</v>
      </c>
      <c r="I168" s="91">
        <f>ROUND(H168*G168,2)</f>
        <v>4524</v>
      </c>
      <c r="L168" s="22">
        <v>0</v>
      </c>
      <c r="M168" s="22">
        <f>L168+G168</f>
        <v>4</v>
      </c>
      <c r="N168" s="23">
        <f>ROUND(L168*H168,2)</f>
        <v>0</v>
      </c>
      <c r="P168" s="64">
        <v>1.2999999999999999E-3</v>
      </c>
      <c r="Q168" s="64">
        <f>P168*L168</f>
        <v>0</v>
      </c>
    </row>
    <row r="169" spans="1:17" x14ac:dyDescent="0.25">
      <c r="A169" s="69"/>
      <c r="B169" s="69"/>
      <c r="C169" s="24" t="s">
        <v>26</v>
      </c>
      <c r="D169" s="70" t="s">
        <v>32</v>
      </c>
      <c r="E169" s="25" t="s">
        <v>233</v>
      </c>
      <c r="F169" s="69"/>
      <c r="G169" s="26">
        <v>2</v>
      </c>
      <c r="H169" s="71"/>
      <c r="I169" s="69"/>
      <c r="L169" s="26"/>
      <c r="M169" s="66"/>
      <c r="N169" s="72"/>
    </row>
    <row r="170" spans="1:17" x14ac:dyDescent="0.25">
      <c r="A170" s="69"/>
      <c r="B170" s="69"/>
      <c r="C170" s="24" t="s">
        <v>26</v>
      </c>
      <c r="D170" s="70" t="s">
        <v>32</v>
      </c>
      <c r="E170" s="25" t="s">
        <v>234</v>
      </c>
      <c r="F170" s="69"/>
      <c r="G170" s="26">
        <v>1</v>
      </c>
      <c r="H170" s="71"/>
      <c r="I170" s="69"/>
      <c r="L170" s="26"/>
      <c r="M170" s="66"/>
      <c r="N170" s="72"/>
    </row>
    <row r="171" spans="1:17" x14ac:dyDescent="0.25">
      <c r="A171" s="69"/>
      <c r="B171" s="69"/>
      <c r="C171" s="24" t="s">
        <v>26</v>
      </c>
      <c r="D171" s="70" t="s">
        <v>32</v>
      </c>
      <c r="E171" s="25" t="s">
        <v>235</v>
      </c>
      <c r="F171" s="69"/>
      <c r="G171" s="26">
        <v>1</v>
      </c>
      <c r="H171" s="71"/>
      <c r="I171" s="69"/>
      <c r="L171" s="26"/>
      <c r="M171" s="66"/>
      <c r="N171" s="72"/>
    </row>
    <row r="172" spans="1:17" x14ac:dyDescent="0.25">
      <c r="A172" s="27"/>
      <c r="B172" s="28"/>
      <c r="C172" s="24" t="s">
        <v>26</v>
      </c>
      <c r="D172" s="29" t="s">
        <v>32</v>
      </c>
      <c r="E172" s="136" t="s">
        <v>48</v>
      </c>
      <c r="F172" s="28"/>
      <c r="G172" s="30">
        <v>4</v>
      </c>
      <c r="H172" s="31"/>
      <c r="I172" s="28"/>
      <c r="L172" s="117"/>
      <c r="M172" s="119"/>
      <c r="N172" s="118"/>
    </row>
    <row r="173" spans="1:17" ht="24" x14ac:dyDescent="0.25">
      <c r="A173" s="2"/>
      <c r="B173" s="86" t="s">
        <v>236</v>
      </c>
      <c r="C173" s="86" t="s">
        <v>102</v>
      </c>
      <c r="D173" s="87">
        <v>40445647</v>
      </c>
      <c r="E173" s="87" t="s">
        <v>237</v>
      </c>
      <c r="F173" s="88" t="s">
        <v>31</v>
      </c>
      <c r="G173" s="89">
        <v>1</v>
      </c>
      <c r="H173" s="90">
        <v>893</v>
      </c>
      <c r="I173" s="91">
        <f>ROUND(H173*G173,2)</f>
        <v>893</v>
      </c>
      <c r="L173" s="22">
        <v>0</v>
      </c>
      <c r="M173" s="22">
        <f>L173+G173</f>
        <v>1</v>
      </c>
      <c r="N173" s="23">
        <f>ROUND(L173*H173,2)</f>
        <v>0</v>
      </c>
      <c r="P173" s="64">
        <v>2.5000000000000001E-3</v>
      </c>
      <c r="Q173" s="64">
        <f>P173*L173</f>
        <v>0</v>
      </c>
    </row>
    <row r="174" spans="1:17" x14ac:dyDescent="0.25">
      <c r="A174" s="69"/>
      <c r="B174" s="69"/>
      <c r="C174" s="24" t="s">
        <v>26</v>
      </c>
      <c r="D174" s="70" t="s">
        <v>32</v>
      </c>
      <c r="E174" s="25" t="s">
        <v>238</v>
      </c>
      <c r="F174" s="69"/>
      <c r="G174" s="26">
        <v>1</v>
      </c>
      <c r="H174" s="71"/>
      <c r="I174" s="69"/>
      <c r="L174" s="26"/>
      <c r="M174" s="66"/>
      <c r="N174" s="72"/>
    </row>
    <row r="175" spans="1:17" ht="24" x14ac:dyDescent="0.25">
      <c r="A175" s="2"/>
      <c r="B175" s="86" t="s">
        <v>239</v>
      </c>
      <c r="C175" s="86" t="s">
        <v>102</v>
      </c>
      <c r="D175" s="87">
        <v>40445646</v>
      </c>
      <c r="E175" s="87" t="s">
        <v>240</v>
      </c>
      <c r="F175" s="88" t="s">
        <v>31</v>
      </c>
      <c r="G175" s="89">
        <v>3</v>
      </c>
      <c r="H175" s="90">
        <v>3749</v>
      </c>
      <c r="I175" s="91">
        <f>ROUND(H175*G175,2)</f>
        <v>11247</v>
      </c>
      <c r="L175" s="22">
        <v>0</v>
      </c>
      <c r="M175" s="22">
        <f>L175+G175</f>
        <v>3</v>
      </c>
      <c r="N175" s="23">
        <f>ROUND(L175*H175,2)</f>
        <v>0</v>
      </c>
      <c r="P175" s="64">
        <v>2.4500000000000001E-2</v>
      </c>
      <c r="Q175" s="64">
        <f>P175*L175</f>
        <v>0</v>
      </c>
    </row>
    <row r="176" spans="1:17" x14ac:dyDescent="0.25">
      <c r="A176" s="69"/>
      <c r="B176" s="69"/>
      <c r="C176" s="24" t="s">
        <v>26</v>
      </c>
      <c r="D176" s="70" t="s">
        <v>32</v>
      </c>
      <c r="E176" s="25" t="s">
        <v>241</v>
      </c>
      <c r="F176" s="69"/>
      <c r="G176" s="26">
        <v>2</v>
      </c>
      <c r="H176" s="71"/>
      <c r="I176" s="69"/>
      <c r="L176" s="26"/>
      <c r="M176" s="66"/>
      <c r="N176" s="72"/>
    </row>
    <row r="177" spans="1:17" x14ac:dyDescent="0.25">
      <c r="A177" s="69"/>
      <c r="B177" s="69"/>
      <c r="C177" s="24" t="s">
        <v>26</v>
      </c>
      <c r="D177" s="70" t="s">
        <v>32</v>
      </c>
      <c r="E177" s="25" t="s">
        <v>242</v>
      </c>
      <c r="F177" s="69"/>
      <c r="G177" s="26">
        <v>1</v>
      </c>
      <c r="H177" s="71"/>
      <c r="I177" s="69"/>
      <c r="L177" s="26"/>
      <c r="M177" s="26"/>
      <c r="N177" s="72"/>
    </row>
    <row r="178" spans="1:17" x14ac:dyDescent="0.25">
      <c r="A178" s="27"/>
      <c r="B178" s="28"/>
      <c r="C178" s="24" t="s">
        <v>26</v>
      </c>
      <c r="D178" s="29" t="s">
        <v>32</v>
      </c>
      <c r="E178" s="136" t="s">
        <v>48</v>
      </c>
      <c r="F178" s="28"/>
      <c r="G178" s="30">
        <v>3</v>
      </c>
      <c r="H178" s="31"/>
      <c r="I178" s="28"/>
      <c r="L178" s="117"/>
      <c r="M178" s="117"/>
      <c r="N178" s="118"/>
    </row>
    <row r="179" spans="1:17" ht="24" x14ac:dyDescent="0.25">
      <c r="A179" s="2"/>
      <c r="B179" s="86" t="s">
        <v>243</v>
      </c>
      <c r="C179" s="86" t="s">
        <v>102</v>
      </c>
      <c r="D179" s="87">
        <v>40445643</v>
      </c>
      <c r="E179" s="87" t="s">
        <v>244</v>
      </c>
      <c r="F179" s="88" t="s">
        <v>31</v>
      </c>
      <c r="G179" s="89">
        <v>1</v>
      </c>
      <c r="H179" s="90">
        <v>1673</v>
      </c>
      <c r="I179" s="91">
        <f>ROUND(H179*G179,2)</f>
        <v>1673</v>
      </c>
      <c r="L179" s="134">
        <f>M179-G179</f>
        <v>-1</v>
      </c>
      <c r="M179" s="134">
        <v>0</v>
      </c>
      <c r="N179" s="135">
        <f>ROUND(L179*H179,2)</f>
        <v>-1673</v>
      </c>
      <c r="P179" s="64">
        <v>3.5999999999999999E-3</v>
      </c>
      <c r="Q179" s="64">
        <f>P179*L179</f>
        <v>-3.5999999999999999E-3</v>
      </c>
    </row>
    <row r="180" spans="1:17" x14ac:dyDescent="0.25">
      <c r="A180" s="69"/>
      <c r="B180" s="69"/>
      <c r="C180" s="24" t="s">
        <v>26</v>
      </c>
      <c r="D180" s="70" t="s">
        <v>32</v>
      </c>
      <c r="E180" s="25" t="s">
        <v>245</v>
      </c>
      <c r="F180" s="69"/>
      <c r="G180" s="26">
        <v>1</v>
      </c>
      <c r="H180" s="71"/>
      <c r="I180" s="69"/>
      <c r="L180" s="26"/>
      <c r="M180" s="26"/>
      <c r="N180" s="72"/>
    </row>
    <row r="181" spans="1:17" ht="24" x14ac:dyDescent="0.25">
      <c r="A181" s="2"/>
      <c r="B181" s="86" t="s">
        <v>246</v>
      </c>
      <c r="C181" s="86" t="s">
        <v>102</v>
      </c>
      <c r="D181" s="87">
        <v>40445621</v>
      </c>
      <c r="E181" s="87" t="s">
        <v>247</v>
      </c>
      <c r="F181" s="88" t="s">
        <v>31</v>
      </c>
      <c r="G181" s="89">
        <v>2</v>
      </c>
      <c r="H181" s="90">
        <v>893</v>
      </c>
      <c r="I181" s="91">
        <f>ROUND(H181*G181,2)</f>
        <v>1786</v>
      </c>
      <c r="L181" s="22">
        <v>0</v>
      </c>
      <c r="M181" s="22">
        <f>L181+G181</f>
        <v>2</v>
      </c>
      <c r="N181" s="23">
        <f>ROUND(L181*H181,2)</f>
        <v>0</v>
      </c>
      <c r="P181" s="64">
        <v>2.5999999999999999E-3</v>
      </c>
      <c r="Q181" s="64">
        <f>P181*L181</f>
        <v>0</v>
      </c>
    </row>
    <row r="182" spans="1:17" x14ac:dyDescent="0.25">
      <c r="A182" s="69"/>
      <c r="B182" s="69"/>
      <c r="C182" s="24" t="s">
        <v>26</v>
      </c>
      <c r="D182" s="70" t="s">
        <v>32</v>
      </c>
      <c r="E182" s="25" t="s">
        <v>248</v>
      </c>
      <c r="F182" s="69"/>
      <c r="G182" s="26">
        <v>2</v>
      </c>
      <c r="H182" s="71"/>
      <c r="I182" s="69"/>
      <c r="L182" s="26"/>
      <c r="M182" s="26"/>
      <c r="N182" s="72"/>
    </row>
    <row r="183" spans="1:17" ht="24" x14ac:dyDescent="0.25">
      <c r="A183" s="2"/>
      <c r="B183" s="86" t="s">
        <v>249</v>
      </c>
      <c r="C183" s="86" t="s">
        <v>102</v>
      </c>
      <c r="D183" s="87">
        <v>40445625</v>
      </c>
      <c r="E183" s="87" t="s">
        <v>250</v>
      </c>
      <c r="F183" s="88" t="s">
        <v>31</v>
      </c>
      <c r="G183" s="89">
        <v>1</v>
      </c>
      <c r="H183" s="90">
        <v>893</v>
      </c>
      <c r="I183" s="91">
        <f>ROUND(H183*G183,2)</f>
        <v>893</v>
      </c>
      <c r="L183" s="22">
        <v>0</v>
      </c>
      <c r="M183" s="22">
        <f>L183+G183</f>
        <v>1</v>
      </c>
      <c r="N183" s="23">
        <f>ROUND(L183*H183,2)</f>
        <v>0</v>
      </c>
      <c r="P183" s="64">
        <v>3.5000000000000001E-3</v>
      </c>
      <c r="Q183" s="64">
        <f>P183*L183</f>
        <v>0</v>
      </c>
    </row>
    <row r="184" spans="1:17" x14ac:dyDescent="0.25">
      <c r="A184" s="69"/>
      <c r="B184" s="69"/>
      <c r="C184" s="24" t="s">
        <v>26</v>
      </c>
      <c r="D184" s="70" t="s">
        <v>32</v>
      </c>
      <c r="E184" s="25" t="s">
        <v>251</v>
      </c>
      <c r="F184" s="69"/>
      <c r="G184" s="26">
        <v>1</v>
      </c>
      <c r="H184" s="71"/>
      <c r="I184" s="69"/>
      <c r="L184" s="26"/>
      <c r="M184" s="26"/>
      <c r="N184" s="72"/>
    </row>
    <row r="185" spans="1:17" ht="24" x14ac:dyDescent="0.25">
      <c r="A185" s="2"/>
      <c r="B185" s="86" t="s">
        <v>252</v>
      </c>
      <c r="C185" s="86" t="s">
        <v>102</v>
      </c>
      <c r="D185" s="87">
        <v>40445650</v>
      </c>
      <c r="E185" s="87" t="s">
        <v>253</v>
      </c>
      <c r="F185" s="88" t="s">
        <v>31</v>
      </c>
      <c r="G185" s="89">
        <v>1</v>
      </c>
      <c r="H185" s="90">
        <v>660</v>
      </c>
      <c r="I185" s="91">
        <f>ROUND(H185*G185,2)</f>
        <v>660</v>
      </c>
      <c r="L185" s="134">
        <f>M185-G185</f>
        <v>-1</v>
      </c>
      <c r="M185" s="134">
        <v>0</v>
      </c>
      <c r="N185" s="135">
        <f>ROUND(L185*H185,2)</f>
        <v>-660</v>
      </c>
      <c r="P185" s="64">
        <v>1.6999999999999999E-3</v>
      </c>
      <c r="Q185" s="64">
        <f>P185*L185</f>
        <v>-1.6999999999999999E-3</v>
      </c>
    </row>
    <row r="186" spans="1:17" x14ac:dyDescent="0.25">
      <c r="A186" s="69"/>
      <c r="B186" s="69"/>
      <c r="C186" s="24" t="s">
        <v>26</v>
      </c>
      <c r="D186" s="70" t="s">
        <v>32</v>
      </c>
      <c r="E186" s="25" t="s">
        <v>254</v>
      </c>
      <c r="F186" s="69"/>
      <c r="G186" s="26">
        <v>1</v>
      </c>
      <c r="H186" s="71"/>
      <c r="I186" s="69"/>
      <c r="L186" s="26"/>
      <c r="M186" s="26"/>
      <c r="N186" s="72"/>
    </row>
    <row r="187" spans="1:17" ht="24" x14ac:dyDescent="0.25">
      <c r="A187" s="2"/>
      <c r="B187" s="80" t="s">
        <v>255</v>
      </c>
      <c r="C187" s="80" t="s">
        <v>23</v>
      </c>
      <c r="D187" s="81">
        <v>914511112</v>
      </c>
      <c r="E187" s="81" t="s">
        <v>256</v>
      </c>
      <c r="F187" s="82" t="s">
        <v>31</v>
      </c>
      <c r="G187" s="83">
        <v>16</v>
      </c>
      <c r="H187" s="84">
        <v>1080</v>
      </c>
      <c r="I187" s="85">
        <f>ROUND(H187*G187,2)</f>
        <v>17280</v>
      </c>
      <c r="L187" s="22">
        <v>0</v>
      </c>
      <c r="M187" s="22">
        <f>L187+G187</f>
        <v>16</v>
      </c>
      <c r="N187" s="23">
        <f>ROUND(L187*H187,2)</f>
        <v>0</v>
      </c>
      <c r="P187" s="64">
        <v>0.11241</v>
      </c>
      <c r="Q187" s="64">
        <f>P187*L187</f>
        <v>0</v>
      </c>
    </row>
    <row r="188" spans="1:17" x14ac:dyDescent="0.25">
      <c r="A188" s="69"/>
      <c r="B188" s="69"/>
      <c r="C188" s="24" t="s">
        <v>26</v>
      </c>
      <c r="D188" s="70" t="s">
        <v>32</v>
      </c>
      <c r="E188" s="25" t="s">
        <v>257</v>
      </c>
      <c r="F188" s="69"/>
      <c r="G188" s="26">
        <v>16</v>
      </c>
      <c r="H188" s="71"/>
      <c r="I188" s="69"/>
      <c r="L188" s="26"/>
      <c r="M188" s="26"/>
      <c r="N188" s="72"/>
    </row>
    <row r="189" spans="1:17" x14ac:dyDescent="0.25">
      <c r="A189" s="27"/>
      <c r="B189" s="28"/>
      <c r="C189" s="24" t="s">
        <v>26</v>
      </c>
      <c r="D189" s="29" t="s">
        <v>32</v>
      </c>
      <c r="E189" s="136" t="s">
        <v>48</v>
      </c>
      <c r="F189" s="28"/>
      <c r="G189" s="30">
        <v>16</v>
      </c>
      <c r="H189" s="31"/>
      <c r="I189" s="28"/>
      <c r="L189" s="117"/>
      <c r="M189" s="30"/>
      <c r="N189" s="118"/>
    </row>
    <row r="190" spans="1:17" ht="24" x14ac:dyDescent="0.25">
      <c r="A190" s="2"/>
      <c r="B190" s="86" t="s">
        <v>258</v>
      </c>
      <c r="C190" s="86" t="s">
        <v>102</v>
      </c>
      <c r="D190" s="87">
        <v>40445225</v>
      </c>
      <c r="E190" s="87" t="s">
        <v>259</v>
      </c>
      <c r="F190" s="88" t="s">
        <v>31</v>
      </c>
      <c r="G190" s="89">
        <v>16</v>
      </c>
      <c r="H190" s="90">
        <v>859</v>
      </c>
      <c r="I190" s="91">
        <f>ROUND(H190*G190,2)</f>
        <v>13744</v>
      </c>
      <c r="L190" s="22">
        <v>0</v>
      </c>
      <c r="M190" s="22">
        <f>L190+G190</f>
        <v>16</v>
      </c>
      <c r="N190" s="23">
        <f t="shared" ref="N190:N191" si="6">ROUND(L190*H190,2)</f>
        <v>0</v>
      </c>
      <c r="P190" s="64">
        <v>6.1000000000000004E-3</v>
      </c>
      <c r="Q190" s="64">
        <f t="shared" ref="Q190:Q191" si="7">P190*L190</f>
        <v>0</v>
      </c>
    </row>
    <row r="191" spans="1:17" ht="24" x14ac:dyDescent="0.25">
      <c r="A191" s="2"/>
      <c r="B191" s="80" t="s">
        <v>260</v>
      </c>
      <c r="C191" s="80" t="s">
        <v>23</v>
      </c>
      <c r="D191" s="81">
        <v>915311113</v>
      </c>
      <c r="E191" s="81" t="s">
        <v>261</v>
      </c>
      <c r="F191" s="82" t="s">
        <v>31</v>
      </c>
      <c r="G191" s="83">
        <v>1</v>
      </c>
      <c r="H191" s="84">
        <v>1200</v>
      </c>
      <c r="I191" s="85">
        <f>ROUND(H191*G191,2)</f>
        <v>1200</v>
      </c>
      <c r="L191" s="22">
        <v>0</v>
      </c>
      <c r="M191" s="22">
        <f>L191+G191</f>
        <v>1</v>
      </c>
      <c r="N191" s="23">
        <f t="shared" si="6"/>
        <v>0</v>
      </c>
      <c r="P191" s="64">
        <v>2.1900000000000001E-3</v>
      </c>
      <c r="Q191" s="64">
        <f t="shared" si="7"/>
        <v>0</v>
      </c>
    </row>
    <row r="192" spans="1:17" x14ac:dyDescent="0.25">
      <c r="A192" s="69"/>
      <c r="B192" s="69"/>
      <c r="C192" s="24" t="s">
        <v>26</v>
      </c>
      <c r="D192" s="70" t="s">
        <v>32</v>
      </c>
      <c r="E192" s="25" t="s">
        <v>262</v>
      </c>
      <c r="F192" s="69"/>
      <c r="G192" s="26">
        <v>1</v>
      </c>
      <c r="H192" s="71"/>
      <c r="I192" s="69"/>
      <c r="L192" s="26"/>
      <c r="M192" s="26"/>
      <c r="N192" s="72"/>
    </row>
    <row r="193" spans="1:18" ht="24" x14ac:dyDescent="0.25">
      <c r="A193" s="2"/>
      <c r="B193" s="80" t="s">
        <v>263</v>
      </c>
      <c r="C193" s="80" t="s">
        <v>23</v>
      </c>
      <c r="D193" s="81">
        <v>915331111</v>
      </c>
      <c r="E193" s="81" t="s">
        <v>264</v>
      </c>
      <c r="F193" s="82" t="s">
        <v>135</v>
      </c>
      <c r="G193" s="83">
        <v>68.5</v>
      </c>
      <c r="H193" s="84">
        <v>36</v>
      </c>
      <c r="I193" s="85">
        <f>ROUND(H193*G193,2)</f>
        <v>2466</v>
      </c>
      <c r="L193" s="22">
        <v>0</v>
      </c>
      <c r="M193" s="22">
        <f>L193+G193</f>
        <v>68.5</v>
      </c>
      <c r="N193" s="23">
        <f>ROUND(L193*H193,2)</f>
        <v>0</v>
      </c>
      <c r="P193" s="64">
        <v>4.0000000000000003E-5</v>
      </c>
      <c r="Q193" s="64">
        <f>P193*L193</f>
        <v>0</v>
      </c>
    </row>
    <row r="194" spans="1:18" x14ac:dyDescent="0.25">
      <c r="A194" s="69"/>
      <c r="B194" s="69"/>
      <c r="C194" s="24" t="s">
        <v>26</v>
      </c>
      <c r="D194" s="70" t="s">
        <v>32</v>
      </c>
      <c r="E194" s="25" t="s">
        <v>265</v>
      </c>
      <c r="F194" s="69"/>
      <c r="G194" s="26">
        <v>68.5</v>
      </c>
      <c r="H194" s="71"/>
      <c r="I194" s="69"/>
      <c r="L194" s="26"/>
      <c r="M194" s="26"/>
      <c r="N194" s="72"/>
    </row>
    <row r="195" spans="1:18" ht="36" x14ac:dyDescent="0.25">
      <c r="A195" s="2"/>
      <c r="B195" s="80" t="s">
        <v>266</v>
      </c>
      <c r="C195" s="80" t="s">
        <v>23</v>
      </c>
      <c r="D195" s="81">
        <v>916131213</v>
      </c>
      <c r="E195" s="81" t="s">
        <v>267</v>
      </c>
      <c r="F195" s="82" t="s">
        <v>135</v>
      </c>
      <c r="G195" s="83">
        <v>861</v>
      </c>
      <c r="H195" s="84">
        <v>365</v>
      </c>
      <c r="I195" s="85">
        <f>ROUND(H195*G195,2)</f>
        <v>314265</v>
      </c>
      <c r="L195" s="22">
        <f>M195-G195</f>
        <v>33</v>
      </c>
      <c r="M195" s="22">
        <f>L196+L197</f>
        <v>894</v>
      </c>
      <c r="N195" s="23">
        <f>ROUND(L195*H195,2)</f>
        <v>12045</v>
      </c>
      <c r="P195" s="64">
        <v>0.15540000000000001</v>
      </c>
      <c r="Q195" s="64">
        <f>P195*L195</f>
        <v>5.1282000000000005</v>
      </c>
      <c r="R195" s="131"/>
    </row>
    <row r="196" spans="1:18" ht="22.5" x14ac:dyDescent="0.25">
      <c r="A196" s="69"/>
      <c r="B196" s="69"/>
      <c r="C196" s="24" t="s">
        <v>26</v>
      </c>
      <c r="D196" s="70" t="s">
        <v>32</v>
      </c>
      <c r="E196" s="25" t="s">
        <v>268</v>
      </c>
      <c r="F196" s="69"/>
      <c r="G196" s="26">
        <v>708</v>
      </c>
      <c r="H196" s="71"/>
      <c r="I196" s="69"/>
      <c r="L196" s="30">
        <f>L204</f>
        <v>715</v>
      </c>
      <c r="M196" s="26"/>
      <c r="N196" s="72"/>
    </row>
    <row r="197" spans="1:18" x14ac:dyDescent="0.25">
      <c r="A197" s="69"/>
      <c r="B197" s="69"/>
      <c r="C197" s="24" t="s">
        <v>26</v>
      </c>
      <c r="D197" s="70" t="s">
        <v>32</v>
      </c>
      <c r="E197" s="25" t="s">
        <v>269</v>
      </c>
      <c r="F197" s="69"/>
      <c r="G197" s="26">
        <v>153</v>
      </c>
      <c r="H197" s="71"/>
      <c r="I197" s="69"/>
      <c r="L197" s="30">
        <f>L200+G202+13</f>
        <v>179</v>
      </c>
      <c r="M197" s="26" t="s">
        <v>358</v>
      </c>
      <c r="N197" s="26"/>
    </row>
    <row r="198" spans="1:18" x14ac:dyDescent="0.25">
      <c r="A198" s="27"/>
      <c r="B198" s="28"/>
      <c r="C198" s="24" t="s">
        <v>26</v>
      </c>
      <c r="D198" s="29" t="s">
        <v>32</v>
      </c>
      <c r="E198" s="136" t="s">
        <v>48</v>
      </c>
      <c r="F198" s="28"/>
      <c r="G198" s="30">
        <v>861</v>
      </c>
      <c r="H198" s="31"/>
      <c r="I198" s="28"/>
      <c r="L198" s="117"/>
      <c r="M198" s="30"/>
      <c r="N198" s="118"/>
    </row>
    <row r="199" spans="1:18" ht="24" x14ac:dyDescent="0.25">
      <c r="A199" s="2"/>
      <c r="B199" s="86" t="s">
        <v>270</v>
      </c>
      <c r="C199" s="86" t="s">
        <v>102</v>
      </c>
      <c r="D199" s="87">
        <v>59217029</v>
      </c>
      <c r="E199" s="87" t="s">
        <v>271</v>
      </c>
      <c r="F199" s="88" t="s">
        <v>135</v>
      </c>
      <c r="G199" s="89">
        <v>131</v>
      </c>
      <c r="H199" s="90">
        <v>113.15</v>
      </c>
      <c r="I199" s="91">
        <f>ROUND(H199*G199,2)</f>
        <v>14822.65</v>
      </c>
      <c r="L199" s="22">
        <f>M199-G199</f>
        <v>13</v>
      </c>
      <c r="M199" s="22">
        <f>L200</f>
        <v>144</v>
      </c>
      <c r="N199" s="23">
        <f>ROUND(L199*H199,2)</f>
        <v>1470.95</v>
      </c>
      <c r="P199" s="64">
        <v>4.8300000000000003E-2</v>
      </c>
      <c r="Q199" s="64">
        <f>P199*L199</f>
        <v>0.62790000000000001</v>
      </c>
      <c r="R199" s="131"/>
    </row>
    <row r="200" spans="1:18" ht="22.5" x14ac:dyDescent="0.25">
      <c r="A200" s="69"/>
      <c r="B200" s="69"/>
      <c r="C200" s="24" t="s">
        <v>26</v>
      </c>
      <c r="D200" s="70" t="s">
        <v>32</v>
      </c>
      <c r="E200" s="25" t="s">
        <v>272</v>
      </c>
      <c r="F200" s="69"/>
      <c r="G200" s="26">
        <v>131</v>
      </c>
      <c r="H200" s="71"/>
      <c r="I200" s="69"/>
      <c r="L200" s="30">
        <v>144</v>
      </c>
      <c r="M200" s="26"/>
      <c r="N200" s="72"/>
      <c r="R200" s="131"/>
    </row>
    <row r="201" spans="1:18" ht="24" x14ac:dyDescent="0.25">
      <c r="A201" s="2"/>
      <c r="B201" s="86" t="s">
        <v>273</v>
      </c>
      <c r="C201" s="86" t="s">
        <v>102</v>
      </c>
      <c r="D201" s="87">
        <v>59217030</v>
      </c>
      <c r="E201" s="87" t="s">
        <v>274</v>
      </c>
      <c r="F201" s="88" t="s">
        <v>135</v>
      </c>
      <c r="G201" s="89">
        <v>22</v>
      </c>
      <c r="H201" s="90">
        <v>327.39</v>
      </c>
      <c r="I201" s="91">
        <f>ROUND(H201*G201,2)</f>
        <v>7202.58</v>
      </c>
      <c r="L201" s="22">
        <v>0</v>
      </c>
      <c r="M201" s="22">
        <f>L201+G201</f>
        <v>22</v>
      </c>
      <c r="N201" s="23">
        <f>ROUND(L201*H201,2)</f>
        <v>0</v>
      </c>
      <c r="P201" s="64">
        <v>6.5670000000000006E-2</v>
      </c>
      <c r="Q201" s="64">
        <f>P201*L201</f>
        <v>0</v>
      </c>
    </row>
    <row r="202" spans="1:18" x14ac:dyDescent="0.25">
      <c r="A202" s="69"/>
      <c r="B202" s="69"/>
      <c r="C202" s="24" t="s">
        <v>26</v>
      </c>
      <c r="D202" s="70" t="s">
        <v>32</v>
      </c>
      <c r="E202" s="25" t="s">
        <v>275</v>
      </c>
      <c r="F202" s="69"/>
      <c r="G202" s="26">
        <v>22</v>
      </c>
      <c r="H202" s="71"/>
      <c r="I202" s="69"/>
      <c r="L202" s="26"/>
      <c r="M202" s="26"/>
      <c r="N202" s="72"/>
    </row>
    <row r="203" spans="1:18" ht="24" x14ac:dyDescent="0.25">
      <c r="A203" s="2"/>
      <c r="B203" s="86" t="s">
        <v>276</v>
      </c>
      <c r="C203" s="86" t="s">
        <v>102</v>
      </c>
      <c r="D203" s="87">
        <v>59217031</v>
      </c>
      <c r="E203" s="87" t="s">
        <v>277</v>
      </c>
      <c r="F203" s="88" t="s">
        <v>135</v>
      </c>
      <c r="G203" s="89">
        <v>708</v>
      </c>
      <c r="H203" s="90">
        <v>133.22999999999999</v>
      </c>
      <c r="I203" s="91">
        <f>ROUND(H203*G203,2)</f>
        <v>94326.84</v>
      </c>
      <c r="L203" s="22">
        <f>M203-G203</f>
        <v>7</v>
      </c>
      <c r="M203" s="22">
        <f>L204</f>
        <v>715</v>
      </c>
      <c r="N203" s="23">
        <f>ROUND(L203*H203,2)</f>
        <v>932.61</v>
      </c>
      <c r="P203" s="64">
        <v>0.08</v>
      </c>
      <c r="Q203" s="64">
        <f>P203*L203</f>
        <v>0.56000000000000005</v>
      </c>
    </row>
    <row r="204" spans="1:18" ht="22.5" x14ac:dyDescent="0.25">
      <c r="A204" s="69"/>
      <c r="B204" s="69"/>
      <c r="C204" s="24" t="s">
        <v>26</v>
      </c>
      <c r="D204" s="70" t="s">
        <v>32</v>
      </c>
      <c r="E204" s="25" t="s">
        <v>268</v>
      </c>
      <c r="F204" s="69"/>
      <c r="G204" s="26">
        <v>708</v>
      </c>
      <c r="H204" s="71"/>
      <c r="I204" s="69"/>
      <c r="L204" s="30">
        <v>715</v>
      </c>
      <c r="M204" s="26"/>
      <c r="N204" s="72"/>
      <c r="R204" s="131"/>
    </row>
    <row r="205" spans="1:18" x14ac:dyDescent="0.25">
      <c r="A205" s="2"/>
      <c r="B205" s="80" t="s">
        <v>278</v>
      </c>
      <c r="C205" s="80" t="s">
        <v>23</v>
      </c>
      <c r="D205" s="92" t="s">
        <v>279</v>
      </c>
      <c r="E205" s="81" t="s">
        <v>280</v>
      </c>
      <c r="F205" s="82" t="s">
        <v>135</v>
      </c>
      <c r="G205" s="83">
        <v>37.299999999999997</v>
      </c>
      <c r="H205" s="84">
        <v>155</v>
      </c>
      <c r="I205" s="85">
        <f>ROUND(H205*G205,2)</f>
        <v>5781.5</v>
      </c>
      <c r="L205" s="22">
        <f>M205-G205</f>
        <v>2.7000000000000028</v>
      </c>
      <c r="M205" s="22">
        <f>L206</f>
        <v>40</v>
      </c>
      <c r="N205" s="23">
        <f>ROUND(L205*H205,2)</f>
        <v>418.5</v>
      </c>
      <c r="P205" s="64">
        <v>1.43E-2</v>
      </c>
      <c r="Q205" s="64">
        <f>P205*L205</f>
        <v>3.861000000000004E-2</v>
      </c>
      <c r="R205" s="131"/>
    </row>
    <row r="206" spans="1:18" x14ac:dyDescent="0.25">
      <c r="A206" s="69"/>
      <c r="B206" s="69"/>
      <c r="C206" s="24" t="s">
        <v>26</v>
      </c>
      <c r="D206" s="70" t="s">
        <v>32</v>
      </c>
      <c r="E206" s="25" t="s">
        <v>281</v>
      </c>
      <c r="F206" s="69"/>
      <c r="G206" s="26">
        <v>37.299999999999997</v>
      </c>
      <c r="H206" s="71"/>
      <c r="I206" s="69"/>
      <c r="L206" s="30">
        <v>40</v>
      </c>
      <c r="M206" s="26" t="s">
        <v>357</v>
      </c>
      <c r="N206" s="26"/>
    </row>
    <row r="207" spans="1:18" ht="36" x14ac:dyDescent="0.25">
      <c r="A207" s="2"/>
      <c r="B207" s="80" t="s">
        <v>282</v>
      </c>
      <c r="C207" s="80" t="s">
        <v>23</v>
      </c>
      <c r="D207" s="81">
        <v>916231213</v>
      </c>
      <c r="E207" s="81" t="s">
        <v>283</v>
      </c>
      <c r="F207" s="82" t="s">
        <v>135</v>
      </c>
      <c r="G207" s="83">
        <v>382</v>
      </c>
      <c r="H207" s="84">
        <v>355</v>
      </c>
      <c r="I207" s="85">
        <f>ROUND(H207*G207,2)</f>
        <v>135610</v>
      </c>
      <c r="L207" s="22">
        <f>M207-G207</f>
        <v>20</v>
      </c>
      <c r="M207" s="22">
        <f>G208+L209</f>
        <v>402</v>
      </c>
      <c r="N207" s="23">
        <f>ROUND(L207*H207,2)</f>
        <v>7100</v>
      </c>
      <c r="P207" s="64">
        <v>0.1295</v>
      </c>
      <c r="Q207" s="64">
        <f>P207*L207</f>
        <v>2.59</v>
      </c>
    </row>
    <row r="208" spans="1:18" ht="22.5" x14ac:dyDescent="0.25">
      <c r="A208" s="69"/>
      <c r="B208" s="69"/>
      <c r="C208" s="24" t="s">
        <v>26</v>
      </c>
      <c r="D208" s="70" t="s">
        <v>32</v>
      </c>
      <c r="E208" s="25" t="s">
        <v>284</v>
      </c>
      <c r="F208" s="69"/>
      <c r="G208" s="26">
        <v>35</v>
      </c>
      <c r="H208" s="71"/>
      <c r="I208" s="69"/>
      <c r="L208" s="26"/>
      <c r="M208" s="26"/>
      <c r="N208" s="72"/>
    </row>
    <row r="209" spans="1:19" ht="22.5" x14ac:dyDescent="0.25">
      <c r="A209" s="69"/>
      <c r="B209" s="69"/>
      <c r="C209" s="24" t="s">
        <v>26</v>
      </c>
      <c r="D209" s="70" t="s">
        <v>32</v>
      </c>
      <c r="E209" s="25" t="s">
        <v>285</v>
      </c>
      <c r="F209" s="69"/>
      <c r="G209" s="26">
        <v>347</v>
      </c>
      <c r="H209" s="71"/>
      <c r="I209" s="69"/>
      <c r="L209" s="30">
        <v>367</v>
      </c>
      <c r="M209" s="26"/>
      <c r="N209" s="72"/>
      <c r="R209" s="131" t="s">
        <v>416</v>
      </c>
    </row>
    <row r="210" spans="1:19" x14ac:dyDescent="0.25">
      <c r="A210" s="27"/>
      <c r="B210" s="28"/>
      <c r="C210" s="24" t="s">
        <v>26</v>
      </c>
      <c r="D210" s="29" t="s">
        <v>32</v>
      </c>
      <c r="E210" s="136" t="s">
        <v>48</v>
      </c>
      <c r="F210" s="28"/>
      <c r="G210" s="30">
        <v>382</v>
      </c>
      <c r="H210" s="31"/>
      <c r="I210" s="28"/>
      <c r="L210" s="117"/>
      <c r="M210" s="117"/>
      <c r="N210" s="118"/>
    </row>
    <row r="211" spans="1:19" ht="24" x14ac:dyDescent="0.25">
      <c r="A211" s="2"/>
      <c r="B211" s="86" t="s">
        <v>286</v>
      </c>
      <c r="C211" s="86" t="s">
        <v>102</v>
      </c>
      <c r="D211" s="87">
        <v>59217017</v>
      </c>
      <c r="E211" s="87" t="s">
        <v>287</v>
      </c>
      <c r="F211" s="88" t="s">
        <v>135</v>
      </c>
      <c r="G211" s="89">
        <v>35</v>
      </c>
      <c r="H211" s="90">
        <v>113.15</v>
      </c>
      <c r="I211" s="91">
        <f>ROUND(H211*G211,2)</f>
        <v>3960.25</v>
      </c>
      <c r="L211" s="22">
        <v>0</v>
      </c>
      <c r="M211" s="22">
        <f>G212+L213</f>
        <v>55</v>
      </c>
      <c r="N211" s="23">
        <f>ROUND(L211*H211,2)</f>
        <v>0</v>
      </c>
      <c r="P211" s="64">
        <v>5.6120000000000003E-2</v>
      </c>
      <c r="Q211" s="64">
        <f>P211*L211</f>
        <v>0</v>
      </c>
      <c r="R211">
        <v>14</v>
      </c>
      <c r="S211" t="s">
        <v>445</v>
      </c>
    </row>
    <row r="212" spans="1:19" ht="22.5" x14ac:dyDescent="0.25">
      <c r="A212" s="69"/>
      <c r="B212" s="69"/>
      <c r="C212" s="24" t="s">
        <v>26</v>
      </c>
      <c r="D212" s="70" t="s">
        <v>32</v>
      </c>
      <c r="E212" s="25" t="s">
        <v>284</v>
      </c>
      <c r="F212" s="69"/>
      <c r="G212" s="26">
        <v>35</v>
      </c>
      <c r="H212" s="71"/>
      <c r="I212" s="69"/>
      <c r="L212" s="26"/>
      <c r="M212" s="26"/>
      <c r="N212" s="72"/>
    </row>
    <row r="213" spans="1:19" ht="24" x14ac:dyDescent="0.25">
      <c r="A213" s="2"/>
      <c r="B213" s="86" t="s">
        <v>288</v>
      </c>
      <c r="C213" s="86" t="s">
        <v>102</v>
      </c>
      <c r="D213" s="87">
        <v>59217016</v>
      </c>
      <c r="E213" s="87" t="s">
        <v>289</v>
      </c>
      <c r="F213" s="88" t="s">
        <v>135</v>
      </c>
      <c r="G213" s="89">
        <v>347</v>
      </c>
      <c r="H213" s="90">
        <v>96.41</v>
      </c>
      <c r="I213" s="91">
        <f>ROUND(H213*G213,2)</f>
        <v>33454.269999999997</v>
      </c>
      <c r="L213" s="22">
        <f>M213-G213</f>
        <v>20</v>
      </c>
      <c r="M213" s="22">
        <f>L214</f>
        <v>367</v>
      </c>
      <c r="N213" s="23">
        <f>ROUND(L213*H213,2)</f>
        <v>1928.2</v>
      </c>
      <c r="P213" s="64">
        <v>4.4999999999999998E-2</v>
      </c>
      <c r="Q213" s="64">
        <f>P213*L213</f>
        <v>0.89999999999999991</v>
      </c>
    </row>
    <row r="214" spans="1:19" ht="22.5" x14ac:dyDescent="0.25">
      <c r="A214" s="69"/>
      <c r="B214" s="69"/>
      <c r="C214" s="24" t="s">
        <v>26</v>
      </c>
      <c r="D214" s="70" t="s">
        <v>32</v>
      </c>
      <c r="E214" s="25" t="s">
        <v>285</v>
      </c>
      <c r="F214" s="69"/>
      <c r="G214" s="26">
        <v>347</v>
      </c>
      <c r="H214" s="71"/>
      <c r="I214" s="69"/>
      <c r="L214" s="30">
        <v>367</v>
      </c>
      <c r="M214" s="26"/>
      <c r="N214" s="72"/>
      <c r="R214" s="131" t="s">
        <v>416</v>
      </c>
    </row>
    <row r="215" spans="1:19" ht="36" x14ac:dyDescent="0.25">
      <c r="A215" s="2"/>
      <c r="B215" s="80" t="s">
        <v>290</v>
      </c>
      <c r="C215" s="80" t="s">
        <v>23</v>
      </c>
      <c r="D215" s="81">
        <v>919121233</v>
      </c>
      <c r="E215" s="81" t="s">
        <v>291</v>
      </c>
      <c r="F215" s="82" t="s">
        <v>135</v>
      </c>
      <c r="G215" s="83">
        <v>54.5</v>
      </c>
      <c r="H215" s="84">
        <v>325</v>
      </c>
      <c r="I215" s="85">
        <f>ROUND(H215*G215,2)</f>
        <v>17712.5</v>
      </c>
      <c r="L215" s="22">
        <v>0</v>
      </c>
      <c r="M215" s="22">
        <f>L215+G215</f>
        <v>54.5</v>
      </c>
      <c r="N215" s="23">
        <f>ROUND(L215*H215,2)</f>
        <v>0</v>
      </c>
      <c r="P215" s="64">
        <v>8.8000000000000003E-4</v>
      </c>
      <c r="Q215" s="64">
        <f>P215*L215</f>
        <v>0</v>
      </c>
    </row>
    <row r="216" spans="1:19" ht="22.5" x14ac:dyDescent="0.25">
      <c r="A216" s="69"/>
      <c r="B216" s="69"/>
      <c r="C216" s="24" t="s">
        <v>26</v>
      </c>
      <c r="D216" s="70" t="s">
        <v>32</v>
      </c>
      <c r="E216" s="25" t="s">
        <v>292</v>
      </c>
      <c r="F216" s="69"/>
      <c r="G216" s="26">
        <v>47</v>
      </c>
      <c r="H216" s="71"/>
      <c r="I216" s="69"/>
      <c r="L216" s="26"/>
      <c r="M216" s="26"/>
      <c r="N216" s="72"/>
    </row>
    <row r="217" spans="1:19" x14ac:dyDescent="0.25">
      <c r="A217" s="69"/>
      <c r="B217" s="69"/>
      <c r="C217" s="24" t="s">
        <v>26</v>
      </c>
      <c r="D217" s="70" t="s">
        <v>32</v>
      </c>
      <c r="E217" s="25" t="s">
        <v>293</v>
      </c>
      <c r="F217" s="69"/>
      <c r="G217" s="26">
        <v>7.5</v>
      </c>
      <c r="H217" s="71"/>
      <c r="I217" s="69"/>
      <c r="L217" s="26"/>
      <c r="M217" s="26"/>
      <c r="N217" s="72"/>
    </row>
    <row r="218" spans="1:19" x14ac:dyDescent="0.25">
      <c r="A218" s="27"/>
      <c r="B218" s="28"/>
      <c r="C218" s="24" t="s">
        <v>26</v>
      </c>
      <c r="D218" s="29" t="s">
        <v>32</v>
      </c>
      <c r="E218" s="136" t="s">
        <v>48</v>
      </c>
      <c r="F218" s="28"/>
      <c r="G218" s="30">
        <v>54.5</v>
      </c>
      <c r="H218" s="31"/>
      <c r="I218" s="28"/>
      <c r="L218" s="117"/>
      <c r="M218" s="117"/>
      <c r="N218" s="118"/>
    </row>
    <row r="219" spans="1:19" ht="24" x14ac:dyDescent="0.25">
      <c r="A219" s="2"/>
      <c r="B219" s="80" t="s">
        <v>294</v>
      </c>
      <c r="C219" s="80" t="s">
        <v>23</v>
      </c>
      <c r="D219" s="81">
        <v>919735111</v>
      </c>
      <c r="E219" s="81" t="s">
        <v>295</v>
      </c>
      <c r="F219" s="82" t="s">
        <v>135</v>
      </c>
      <c r="G219" s="83">
        <v>47</v>
      </c>
      <c r="H219" s="84">
        <v>85</v>
      </c>
      <c r="I219" s="85">
        <f>ROUND(H219*G219,2)</f>
        <v>3995</v>
      </c>
      <c r="L219" s="22">
        <v>0</v>
      </c>
      <c r="M219" s="22">
        <f>L219+G219</f>
        <v>47</v>
      </c>
      <c r="N219" s="23">
        <f>ROUND(L219*H219,2)</f>
        <v>0</v>
      </c>
      <c r="P219" s="64">
        <v>0</v>
      </c>
      <c r="Q219" s="64">
        <f>P219*L219</f>
        <v>0</v>
      </c>
    </row>
    <row r="220" spans="1:19" ht="22.5" x14ac:dyDescent="0.25">
      <c r="A220" s="69"/>
      <c r="B220" s="69"/>
      <c r="C220" s="24" t="s">
        <v>26</v>
      </c>
      <c r="D220" s="70" t="s">
        <v>32</v>
      </c>
      <c r="E220" s="25" t="s">
        <v>292</v>
      </c>
      <c r="F220" s="69"/>
      <c r="G220" s="26">
        <v>47</v>
      </c>
      <c r="H220" s="71"/>
      <c r="I220" s="69"/>
      <c r="L220" s="26"/>
      <c r="M220" s="26"/>
      <c r="N220" s="72"/>
    </row>
    <row r="221" spans="1:19" ht="24" x14ac:dyDescent="0.25">
      <c r="A221" s="2"/>
      <c r="B221" s="80" t="s">
        <v>296</v>
      </c>
      <c r="C221" s="80" t="s">
        <v>23</v>
      </c>
      <c r="D221" s="81">
        <v>919735112</v>
      </c>
      <c r="E221" s="81" t="s">
        <v>297</v>
      </c>
      <c r="F221" s="82" t="s">
        <v>135</v>
      </c>
      <c r="G221" s="83">
        <v>46.5</v>
      </c>
      <c r="H221" s="84">
        <v>95</v>
      </c>
      <c r="I221" s="85">
        <f>ROUND(H221*G221,2)</f>
        <v>4417.5</v>
      </c>
      <c r="L221" s="22">
        <v>0</v>
      </c>
      <c r="M221" s="22">
        <f>L221+G221</f>
        <v>46.5</v>
      </c>
      <c r="N221" s="23">
        <f>ROUND(L221*H221,2)</f>
        <v>0</v>
      </c>
      <c r="P221" s="64">
        <v>0</v>
      </c>
      <c r="Q221" s="64">
        <f>P221*L221</f>
        <v>0</v>
      </c>
    </row>
    <row r="222" spans="1:19" ht="22.5" x14ac:dyDescent="0.25">
      <c r="A222" s="69"/>
      <c r="B222" s="69"/>
      <c r="C222" s="24" t="s">
        <v>26</v>
      </c>
      <c r="D222" s="70" t="s">
        <v>32</v>
      </c>
      <c r="E222" s="25" t="s">
        <v>298</v>
      </c>
      <c r="F222" s="69"/>
      <c r="G222" s="26">
        <v>46.5</v>
      </c>
      <c r="H222" s="71"/>
      <c r="I222" s="69"/>
      <c r="L222" s="26"/>
      <c r="M222" s="26"/>
      <c r="N222" s="72"/>
    </row>
    <row r="223" spans="1:19" ht="24" x14ac:dyDescent="0.25">
      <c r="A223" s="2"/>
      <c r="B223" s="80" t="s">
        <v>299</v>
      </c>
      <c r="C223" s="80" t="s">
        <v>23</v>
      </c>
      <c r="D223" s="81">
        <v>919735113</v>
      </c>
      <c r="E223" s="81" t="s">
        <v>300</v>
      </c>
      <c r="F223" s="82" t="s">
        <v>135</v>
      </c>
      <c r="G223" s="83">
        <v>7.5</v>
      </c>
      <c r="H223" s="84">
        <v>125</v>
      </c>
      <c r="I223" s="85">
        <f>ROUND(H223*G223,2)</f>
        <v>937.5</v>
      </c>
      <c r="L223" s="22">
        <v>0</v>
      </c>
      <c r="M223" s="22">
        <f>L223+G223</f>
        <v>7.5</v>
      </c>
      <c r="N223" s="23">
        <f>ROUND(L223*H223,2)</f>
        <v>0</v>
      </c>
      <c r="P223" s="64">
        <v>0</v>
      </c>
      <c r="Q223" s="64">
        <f>P223*L223</f>
        <v>0</v>
      </c>
    </row>
    <row r="224" spans="1:19" x14ac:dyDescent="0.25">
      <c r="A224" s="69"/>
      <c r="B224" s="69"/>
      <c r="C224" s="24" t="s">
        <v>26</v>
      </c>
      <c r="D224" s="70" t="s">
        <v>32</v>
      </c>
      <c r="E224" s="25" t="s">
        <v>293</v>
      </c>
      <c r="F224" s="69"/>
      <c r="G224" s="26">
        <v>7.5</v>
      </c>
      <c r="H224" s="71"/>
      <c r="I224" s="69"/>
      <c r="L224" s="26"/>
      <c r="M224" s="26"/>
      <c r="N224" s="72"/>
    </row>
    <row r="225" spans="1:17" ht="24" x14ac:dyDescent="0.25">
      <c r="A225" s="2"/>
      <c r="B225" s="80" t="s">
        <v>301</v>
      </c>
      <c r="C225" s="80" t="s">
        <v>23</v>
      </c>
      <c r="D225" s="81">
        <v>935111211</v>
      </c>
      <c r="E225" s="81" t="s">
        <v>302</v>
      </c>
      <c r="F225" s="82" t="s">
        <v>135</v>
      </c>
      <c r="G225" s="83">
        <v>1</v>
      </c>
      <c r="H225" s="84">
        <v>220</v>
      </c>
      <c r="I225" s="85">
        <f>ROUND(H225*G225,2)</f>
        <v>220</v>
      </c>
      <c r="L225" s="22">
        <v>0</v>
      </c>
      <c r="M225" s="22">
        <f>L225+G225</f>
        <v>1</v>
      </c>
      <c r="N225" s="23">
        <f>ROUND(L225*H225,2)</f>
        <v>0</v>
      </c>
      <c r="P225" s="64">
        <v>0.14760999999999999</v>
      </c>
      <c r="Q225" s="64">
        <f>P225*L225</f>
        <v>0</v>
      </c>
    </row>
    <row r="226" spans="1:17" x14ac:dyDescent="0.25">
      <c r="A226" s="69"/>
      <c r="B226" s="69"/>
      <c r="C226" s="24" t="s">
        <v>26</v>
      </c>
      <c r="D226" s="70" t="s">
        <v>32</v>
      </c>
      <c r="E226" s="25" t="s">
        <v>33</v>
      </c>
      <c r="F226" s="69"/>
      <c r="G226" s="26">
        <v>1</v>
      </c>
      <c r="H226" s="71"/>
      <c r="I226" s="69"/>
      <c r="L226" s="26"/>
      <c r="M226" s="26"/>
      <c r="N226" s="72"/>
    </row>
    <row r="227" spans="1:17" ht="24" x14ac:dyDescent="0.25">
      <c r="A227" s="2"/>
      <c r="B227" s="86" t="s">
        <v>303</v>
      </c>
      <c r="C227" s="86" t="s">
        <v>102</v>
      </c>
      <c r="D227" s="93" t="s">
        <v>304</v>
      </c>
      <c r="E227" s="87" t="s">
        <v>305</v>
      </c>
      <c r="F227" s="88" t="s">
        <v>135</v>
      </c>
      <c r="G227" s="89">
        <v>1</v>
      </c>
      <c r="H227" s="90">
        <v>1000</v>
      </c>
      <c r="I227" s="91">
        <f>ROUND(H227*G227,2)</f>
        <v>1000</v>
      </c>
      <c r="L227" s="22">
        <v>0</v>
      </c>
      <c r="M227" s="22">
        <f>L227+G227</f>
        <v>1</v>
      </c>
      <c r="N227" s="23">
        <f t="shared" ref="N227:N228" si="8">ROUND(L227*H227,2)</f>
        <v>0</v>
      </c>
      <c r="P227" s="64">
        <v>0.25755</v>
      </c>
      <c r="Q227" s="64">
        <f t="shared" ref="Q227:Q228" si="9">P227*L227</f>
        <v>0</v>
      </c>
    </row>
    <row r="228" spans="1:17" x14ac:dyDescent="0.25">
      <c r="A228" s="2"/>
      <c r="B228" s="80" t="s">
        <v>306</v>
      </c>
      <c r="C228" s="80" t="s">
        <v>23</v>
      </c>
      <c r="D228" s="81">
        <v>938908411</v>
      </c>
      <c r="E228" s="81" t="s">
        <v>307</v>
      </c>
      <c r="F228" s="82" t="s">
        <v>25</v>
      </c>
      <c r="G228" s="83">
        <v>43</v>
      </c>
      <c r="H228" s="84">
        <v>15</v>
      </c>
      <c r="I228" s="85">
        <f>ROUND(H228*G228,2)</f>
        <v>645</v>
      </c>
      <c r="L228" s="22">
        <v>0</v>
      </c>
      <c r="M228" s="22">
        <f>L228+G228</f>
        <v>43</v>
      </c>
      <c r="N228" s="23">
        <f t="shared" si="8"/>
        <v>0</v>
      </c>
      <c r="P228" s="64">
        <v>0</v>
      </c>
      <c r="Q228" s="64">
        <f t="shared" si="9"/>
        <v>0</v>
      </c>
    </row>
    <row r="229" spans="1:17" ht="22.5" x14ac:dyDescent="0.25">
      <c r="A229" s="69"/>
      <c r="B229" s="69"/>
      <c r="C229" s="24" t="s">
        <v>26</v>
      </c>
      <c r="D229" s="70" t="s">
        <v>32</v>
      </c>
      <c r="E229" s="25" t="s">
        <v>53</v>
      </c>
      <c r="F229" s="69"/>
      <c r="G229" s="26">
        <v>23</v>
      </c>
      <c r="H229" s="71"/>
      <c r="I229" s="69"/>
      <c r="L229" s="26"/>
      <c r="M229" s="26"/>
      <c r="N229" s="72"/>
    </row>
    <row r="230" spans="1:17" x14ac:dyDescent="0.25">
      <c r="A230" s="69"/>
      <c r="B230" s="69"/>
      <c r="C230" s="24" t="s">
        <v>26</v>
      </c>
      <c r="D230" s="70" t="s">
        <v>32</v>
      </c>
      <c r="E230" s="25" t="s">
        <v>54</v>
      </c>
      <c r="F230" s="69"/>
      <c r="G230" s="26">
        <v>20</v>
      </c>
      <c r="H230" s="71"/>
      <c r="I230" s="69"/>
      <c r="L230" s="26"/>
      <c r="M230" s="26"/>
      <c r="N230" s="72"/>
    </row>
    <row r="231" spans="1:17" x14ac:dyDescent="0.25">
      <c r="A231" s="27"/>
      <c r="B231" s="28"/>
      <c r="C231" s="24" t="s">
        <v>26</v>
      </c>
      <c r="D231" s="29" t="s">
        <v>32</v>
      </c>
      <c r="E231" s="136" t="s">
        <v>48</v>
      </c>
      <c r="F231" s="28"/>
      <c r="G231" s="30">
        <v>43</v>
      </c>
      <c r="H231" s="31"/>
      <c r="I231" s="28"/>
      <c r="L231" s="117"/>
      <c r="M231" s="117"/>
      <c r="N231" s="126"/>
    </row>
    <row r="232" spans="1:17" ht="36" x14ac:dyDescent="0.25">
      <c r="A232" s="2"/>
      <c r="B232" s="80" t="s">
        <v>308</v>
      </c>
      <c r="C232" s="80" t="s">
        <v>23</v>
      </c>
      <c r="D232" s="81">
        <v>966006132</v>
      </c>
      <c r="E232" s="81" t="s">
        <v>309</v>
      </c>
      <c r="F232" s="82" t="s">
        <v>31</v>
      </c>
      <c r="G232" s="83">
        <v>2</v>
      </c>
      <c r="H232" s="84">
        <v>350</v>
      </c>
      <c r="I232" s="85">
        <f>ROUND(H232*G232,2)</f>
        <v>700</v>
      </c>
      <c r="L232" s="22">
        <v>0</v>
      </c>
      <c r="M232" s="22">
        <f>L232+G232</f>
        <v>2</v>
      </c>
      <c r="N232" s="23">
        <f>ROUND(L232*H232,2)</f>
        <v>0</v>
      </c>
      <c r="P232" s="64">
        <v>0</v>
      </c>
      <c r="Q232" s="64">
        <f>P232*L232</f>
        <v>0</v>
      </c>
    </row>
    <row r="233" spans="1:17" x14ac:dyDescent="0.25">
      <c r="A233" s="14"/>
      <c r="B233" s="15"/>
      <c r="C233" s="16" t="s">
        <v>18</v>
      </c>
      <c r="D233" s="20">
        <v>997</v>
      </c>
      <c r="E233" s="20" t="s">
        <v>310</v>
      </c>
      <c r="F233" s="15"/>
      <c r="G233" s="15"/>
      <c r="H233" s="18"/>
      <c r="I233" s="21">
        <f>SUM(I234:I253)</f>
        <v>286732.34999999998</v>
      </c>
      <c r="L233" s="99"/>
      <c r="M233" s="99"/>
      <c r="N233" s="21">
        <f>SUM(N234:N253)</f>
        <v>0</v>
      </c>
    </row>
    <row r="234" spans="1:17" ht="24" x14ac:dyDescent="0.25">
      <c r="A234" s="2"/>
      <c r="B234" s="80" t="s">
        <v>311</v>
      </c>
      <c r="C234" s="80" t="s">
        <v>23</v>
      </c>
      <c r="D234" s="81">
        <v>997221551</v>
      </c>
      <c r="E234" s="81" t="s">
        <v>312</v>
      </c>
      <c r="F234" s="82" t="s">
        <v>93</v>
      </c>
      <c r="G234" s="83">
        <v>595.577</v>
      </c>
      <c r="H234" s="84">
        <v>66</v>
      </c>
      <c r="I234" s="85">
        <f>ROUND(H234*G234,2)</f>
        <v>39308.080000000002</v>
      </c>
      <c r="L234" s="22">
        <v>0</v>
      </c>
      <c r="M234" s="22">
        <f>L234+G234</f>
        <v>595.577</v>
      </c>
      <c r="N234" s="23">
        <f>ROUND(L234*H234,2)</f>
        <v>0</v>
      </c>
      <c r="P234" s="64">
        <v>0</v>
      </c>
      <c r="Q234" s="64">
        <f>P234*L234</f>
        <v>0</v>
      </c>
    </row>
    <row r="235" spans="1:17" x14ac:dyDescent="0.25">
      <c r="A235" s="69"/>
      <c r="B235" s="69"/>
      <c r="C235" s="24" t="s">
        <v>26</v>
      </c>
      <c r="D235" s="70" t="s">
        <v>32</v>
      </c>
      <c r="E235" s="25" t="s">
        <v>313</v>
      </c>
      <c r="F235" s="69"/>
      <c r="G235" s="26">
        <v>595.577</v>
      </c>
      <c r="H235" s="71"/>
      <c r="I235" s="69"/>
      <c r="L235" s="26"/>
      <c r="M235" s="26"/>
      <c r="N235" s="72"/>
    </row>
    <row r="236" spans="1:17" ht="24" x14ac:dyDescent="0.25">
      <c r="A236" s="2"/>
      <c r="B236" s="80" t="s">
        <v>314</v>
      </c>
      <c r="C236" s="80" t="s">
        <v>23</v>
      </c>
      <c r="D236" s="81">
        <v>997221559</v>
      </c>
      <c r="E236" s="81" t="s">
        <v>315</v>
      </c>
      <c r="F236" s="82" t="s">
        <v>93</v>
      </c>
      <c r="G236" s="83">
        <v>5360.1930000000002</v>
      </c>
      <c r="H236" s="84">
        <v>19</v>
      </c>
      <c r="I236" s="85">
        <f>ROUND(H236*G236,2)</f>
        <v>101843.67</v>
      </c>
      <c r="L236" s="22">
        <v>0</v>
      </c>
      <c r="M236" s="22">
        <f>L236+G236</f>
        <v>5360.1930000000002</v>
      </c>
      <c r="N236" s="23">
        <f>ROUND(L236*H236,2)</f>
        <v>0</v>
      </c>
      <c r="P236" s="64">
        <v>0</v>
      </c>
      <c r="Q236" s="64">
        <f>P236*L236</f>
        <v>0</v>
      </c>
    </row>
    <row r="237" spans="1:17" x14ac:dyDescent="0.25">
      <c r="A237" s="69"/>
      <c r="B237" s="69"/>
      <c r="C237" s="24" t="s">
        <v>26</v>
      </c>
      <c r="D237" s="70" t="s">
        <v>32</v>
      </c>
      <c r="E237" s="25" t="s">
        <v>316</v>
      </c>
      <c r="F237" s="69"/>
      <c r="G237" s="26">
        <v>5360.1930000000002</v>
      </c>
      <c r="H237" s="71"/>
      <c r="I237" s="69"/>
      <c r="L237" s="26"/>
      <c r="M237" s="26"/>
      <c r="N237" s="72"/>
    </row>
    <row r="238" spans="1:17" ht="24" x14ac:dyDescent="0.25">
      <c r="A238" s="2"/>
      <c r="B238" s="80" t="s">
        <v>317</v>
      </c>
      <c r="C238" s="80" t="s">
        <v>23</v>
      </c>
      <c r="D238" s="81">
        <v>997221561</v>
      </c>
      <c r="E238" s="81" t="s">
        <v>318</v>
      </c>
      <c r="F238" s="82" t="s">
        <v>93</v>
      </c>
      <c r="G238" s="83">
        <v>160.93</v>
      </c>
      <c r="H238" s="84">
        <v>66</v>
      </c>
      <c r="I238" s="85">
        <f>ROUND(H238*G238,2)</f>
        <v>10621.38</v>
      </c>
      <c r="L238" s="22">
        <v>0</v>
      </c>
      <c r="M238" s="22">
        <f>L238+G238</f>
        <v>160.93</v>
      </c>
      <c r="N238" s="23">
        <f>ROUND(L238*H238,2)</f>
        <v>0</v>
      </c>
      <c r="P238" s="64">
        <v>0</v>
      </c>
      <c r="Q238" s="64">
        <f>P238*L238</f>
        <v>0</v>
      </c>
    </row>
    <row r="239" spans="1:17" x14ac:dyDescent="0.25">
      <c r="A239" s="69"/>
      <c r="B239" s="69"/>
      <c r="C239" s="24" t="s">
        <v>26</v>
      </c>
      <c r="D239" s="70" t="s">
        <v>32</v>
      </c>
      <c r="E239" s="25" t="s">
        <v>319</v>
      </c>
      <c r="F239" s="69"/>
      <c r="G239" s="26">
        <v>160.93</v>
      </c>
      <c r="H239" s="71"/>
      <c r="I239" s="69"/>
      <c r="L239" s="26"/>
      <c r="M239" s="22"/>
      <c r="N239" s="72"/>
    </row>
    <row r="240" spans="1:17" ht="24" x14ac:dyDescent="0.25">
      <c r="A240" s="2"/>
      <c r="B240" s="80" t="s">
        <v>320</v>
      </c>
      <c r="C240" s="80" t="s">
        <v>23</v>
      </c>
      <c r="D240" s="81">
        <v>997221569</v>
      </c>
      <c r="E240" s="81" t="s">
        <v>321</v>
      </c>
      <c r="F240" s="82" t="s">
        <v>93</v>
      </c>
      <c r="G240" s="83">
        <v>1448.37</v>
      </c>
      <c r="H240" s="84">
        <v>19</v>
      </c>
      <c r="I240" s="85">
        <f>ROUND(H240*G240,2)</f>
        <v>27519.03</v>
      </c>
      <c r="L240" s="22">
        <v>0</v>
      </c>
      <c r="M240" s="22">
        <f>L240+G240</f>
        <v>1448.37</v>
      </c>
      <c r="N240" s="23">
        <f>ROUND(L240*H240,2)</f>
        <v>0</v>
      </c>
      <c r="P240" s="64">
        <v>0</v>
      </c>
      <c r="Q240" s="64">
        <f>P240*L240</f>
        <v>0</v>
      </c>
    </row>
    <row r="241" spans="1:18" x14ac:dyDescent="0.25">
      <c r="A241" s="69"/>
      <c r="B241" s="69"/>
      <c r="C241" s="24" t="s">
        <v>26</v>
      </c>
      <c r="D241" s="70" t="s">
        <v>32</v>
      </c>
      <c r="E241" s="25" t="s">
        <v>322</v>
      </c>
      <c r="F241" s="69"/>
      <c r="G241" s="26">
        <v>1448.37</v>
      </c>
      <c r="H241" s="71"/>
      <c r="I241" s="69"/>
      <c r="L241" s="26"/>
      <c r="M241" s="26"/>
      <c r="N241" s="72"/>
    </row>
    <row r="242" spans="1:18" ht="36" x14ac:dyDescent="0.25">
      <c r="A242" s="2"/>
      <c r="B242" s="80" t="s">
        <v>323</v>
      </c>
      <c r="C242" s="80" t="s">
        <v>23</v>
      </c>
      <c r="D242" s="81">
        <v>997221615</v>
      </c>
      <c r="E242" s="81" t="s">
        <v>324</v>
      </c>
      <c r="F242" s="82" t="s">
        <v>93</v>
      </c>
      <c r="G242" s="83">
        <v>30.03</v>
      </c>
      <c r="H242" s="84">
        <v>125</v>
      </c>
      <c r="I242" s="85">
        <f>ROUND(H242*G242,2)</f>
        <v>3753.75</v>
      </c>
      <c r="L242" s="22">
        <v>0</v>
      </c>
      <c r="M242" s="22">
        <f>L242+G242</f>
        <v>30.03</v>
      </c>
      <c r="N242" s="23">
        <f>ROUND(L242*H242,2)</f>
        <v>0</v>
      </c>
      <c r="P242" s="64">
        <v>0</v>
      </c>
      <c r="Q242" s="64">
        <f>P242*L242</f>
        <v>0</v>
      </c>
    </row>
    <row r="243" spans="1:18" x14ac:dyDescent="0.25">
      <c r="A243" s="69"/>
      <c r="B243" s="69"/>
      <c r="C243" s="24" t="s">
        <v>26</v>
      </c>
      <c r="D243" s="70" t="s">
        <v>32</v>
      </c>
      <c r="E243" s="25" t="s">
        <v>325</v>
      </c>
      <c r="F243" s="69"/>
      <c r="G243" s="26">
        <v>10.14</v>
      </c>
      <c r="H243" s="71"/>
      <c r="I243" s="69"/>
      <c r="L243" s="26"/>
      <c r="M243" s="26"/>
      <c r="N243" s="72"/>
    </row>
    <row r="244" spans="1:18" x14ac:dyDescent="0.25">
      <c r="A244" s="69"/>
      <c r="B244" s="69"/>
      <c r="C244" s="24" t="s">
        <v>26</v>
      </c>
      <c r="D244" s="70" t="s">
        <v>32</v>
      </c>
      <c r="E244" s="25" t="s">
        <v>326</v>
      </c>
      <c r="F244" s="69"/>
      <c r="G244" s="26">
        <v>19.89</v>
      </c>
      <c r="H244" s="71"/>
      <c r="I244" s="69"/>
      <c r="L244" s="26"/>
      <c r="M244" s="26"/>
      <c r="N244" s="72"/>
    </row>
    <row r="245" spans="1:18" x14ac:dyDescent="0.25">
      <c r="A245" s="27"/>
      <c r="B245" s="28"/>
      <c r="C245" s="24" t="s">
        <v>26</v>
      </c>
      <c r="D245" s="29" t="s">
        <v>327</v>
      </c>
      <c r="E245" s="136" t="s">
        <v>48</v>
      </c>
      <c r="F245" s="28"/>
      <c r="G245" s="30">
        <v>30.03</v>
      </c>
      <c r="H245" s="31"/>
      <c r="I245" s="28"/>
      <c r="L245" s="117"/>
      <c r="M245" s="117"/>
      <c r="N245" s="118"/>
    </row>
    <row r="246" spans="1:18" ht="36" x14ac:dyDescent="0.25">
      <c r="A246" s="2"/>
      <c r="B246" s="80" t="s">
        <v>328</v>
      </c>
      <c r="C246" s="80" t="s">
        <v>23</v>
      </c>
      <c r="D246" s="81">
        <v>997221645</v>
      </c>
      <c r="E246" s="81" t="s">
        <v>329</v>
      </c>
      <c r="F246" s="82" t="s">
        <v>93</v>
      </c>
      <c r="G246" s="83">
        <v>131.977</v>
      </c>
      <c r="H246" s="84">
        <v>155</v>
      </c>
      <c r="I246" s="85">
        <f>ROUND(H246*G246,2)</f>
        <v>20456.439999999999</v>
      </c>
      <c r="L246" s="22">
        <v>0</v>
      </c>
      <c r="M246" s="22">
        <f>L246+G246</f>
        <v>131.977</v>
      </c>
      <c r="N246" s="23">
        <f>ROUND(L246*H246,2)</f>
        <v>0</v>
      </c>
      <c r="P246" s="64">
        <v>0</v>
      </c>
      <c r="Q246" s="64">
        <f>P246*L246</f>
        <v>0</v>
      </c>
    </row>
    <row r="247" spans="1:18" ht="22.5" x14ac:dyDescent="0.25">
      <c r="A247" s="69"/>
      <c r="B247" s="69"/>
      <c r="C247" s="24" t="s">
        <v>26</v>
      </c>
      <c r="D247" s="70" t="s">
        <v>32</v>
      </c>
      <c r="E247" s="25" t="s">
        <v>330</v>
      </c>
      <c r="F247" s="69"/>
      <c r="G247" s="26">
        <v>12.19</v>
      </c>
      <c r="H247" s="71"/>
      <c r="I247" s="69"/>
      <c r="L247" s="26"/>
      <c r="M247" s="26"/>
      <c r="N247" s="72"/>
    </row>
    <row r="248" spans="1:18" ht="22.5" x14ac:dyDescent="0.25">
      <c r="A248" s="69"/>
      <c r="B248" s="69"/>
      <c r="C248" s="24" t="s">
        <v>26</v>
      </c>
      <c r="D248" s="70" t="s">
        <v>32</v>
      </c>
      <c r="E248" s="25" t="s">
        <v>331</v>
      </c>
      <c r="F248" s="69"/>
      <c r="G248" s="26">
        <v>-11.113</v>
      </c>
      <c r="H248" s="71"/>
      <c r="I248" s="69"/>
      <c r="L248" s="26"/>
      <c r="M248" s="26"/>
      <c r="N248" s="72"/>
    </row>
    <row r="249" spans="1:18" x14ac:dyDescent="0.25">
      <c r="A249" s="32"/>
      <c r="B249" s="33"/>
      <c r="C249" s="24" t="s">
        <v>26</v>
      </c>
      <c r="D249" s="34" t="s">
        <v>332</v>
      </c>
      <c r="E249" s="137" t="s">
        <v>333</v>
      </c>
      <c r="F249" s="33"/>
      <c r="G249" s="35">
        <v>1.077</v>
      </c>
      <c r="H249" s="36"/>
      <c r="I249" s="33"/>
      <c r="L249" s="35"/>
      <c r="M249" s="35"/>
      <c r="N249" s="127"/>
    </row>
    <row r="250" spans="1:18" x14ac:dyDescent="0.25">
      <c r="A250" s="69"/>
      <c r="B250" s="69"/>
      <c r="C250" s="24" t="s">
        <v>26</v>
      </c>
      <c r="D250" s="70" t="s">
        <v>334</v>
      </c>
      <c r="E250" s="25" t="s">
        <v>335</v>
      </c>
      <c r="F250" s="69"/>
      <c r="G250" s="26">
        <v>130.9</v>
      </c>
      <c r="H250" s="71"/>
      <c r="I250" s="69"/>
      <c r="L250" s="26"/>
      <c r="M250" s="26"/>
      <c r="N250" s="72"/>
    </row>
    <row r="251" spans="1:18" x14ac:dyDescent="0.25">
      <c r="A251" s="27"/>
      <c r="B251" s="28"/>
      <c r="C251" s="24" t="s">
        <v>26</v>
      </c>
      <c r="D251" s="29" t="s">
        <v>32</v>
      </c>
      <c r="E251" s="136" t="s">
        <v>48</v>
      </c>
      <c r="F251" s="28"/>
      <c r="G251" s="30">
        <v>131.977</v>
      </c>
      <c r="H251" s="31"/>
      <c r="I251" s="28"/>
      <c r="L251" s="117"/>
      <c r="M251" s="30"/>
      <c r="N251" s="126"/>
    </row>
    <row r="252" spans="1:18" ht="24" x14ac:dyDescent="0.25">
      <c r="A252" s="2"/>
      <c r="B252" s="80" t="s">
        <v>336</v>
      </c>
      <c r="C252" s="80" t="s">
        <v>23</v>
      </c>
      <c r="D252" s="81">
        <v>997221655</v>
      </c>
      <c r="E252" s="81" t="s">
        <v>92</v>
      </c>
      <c r="F252" s="82" t="s">
        <v>93</v>
      </c>
      <c r="G252" s="83">
        <v>594.5</v>
      </c>
      <c r="H252" s="84">
        <v>140</v>
      </c>
      <c r="I252" s="85">
        <f>ROUND(H252*G252,2)</f>
        <v>83230</v>
      </c>
      <c r="L252" s="22">
        <v>0</v>
      </c>
      <c r="M252" s="22">
        <f>L252+G252</f>
        <v>594.5</v>
      </c>
      <c r="N252" s="23">
        <f>ROUND(L252*H252,2)</f>
        <v>0</v>
      </c>
      <c r="P252" s="64">
        <v>0</v>
      </c>
      <c r="Q252" s="64">
        <f>P252*L252</f>
        <v>0</v>
      </c>
    </row>
    <row r="253" spans="1:18" ht="22.5" x14ac:dyDescent="0.25">
      <c r="A253" s="69"/>
      <c r="B253" s="69"/>
      <c r="C253" s="24" t="s">
        <v>26</v>
      </c>
      <c r="D253" s="70" t="s">
        <v>337</v>
      </c>
      <c r="E253" s="25" t="s">
        <v>338</v>
      </c>
      <c r="F253" s="69"/>
      <c r="G253" s="26">
        <v>594.5</v>
      </c>
      <c r="H253" s="71"/>
      <c r="I253" s="69"/>
      <c r="L253" s="26"/>
      <c r="M253" s="26"/>
      <c r="N253" s="72"/>
    </row>
    <row r="254" spans="1:18" x14ac:dyDescent="0.25">
      <c r="A254" s="14"/>
      <c r="B254" s="15"/>
      <c r="C254" s="16" t="s">
        <v>18</v>
      </c>
      <c r="D254" s="20">
        <v>998</v>
      </c>
      <c r="E254" s="20" t="s">
        <v>339</v>
      </c>
      <c r="F254" s="15"/>
      <c r="G254" s="15"/>
      <c r="H254" s="18"/>
      <c r="I254" s="21">
        <f>SUM(I255)</f>
        <v>55241.26</v>
      </c>
      <c r="L254" s="122"/>
      <c r="M254" s="121"/>
      <c r="N254" s="123">
        <f>SUM(N255)</f>
        <v>9771.61</v>
      </c>
    </row>
    <row r="255" spans="1:18" ht="36" x14ac:dyDescent="0.25">
      <c r="A255" s="2"/>
      <c r="B255" s="80" t="s">
        <v>340</v>
      </c>
      <c r="C255" s="80" t="s">
        <v>23</v>
      </c>
      <c r="D255" s="81">
        <v>998225111</v>
      </c>
      <c r="E255" s="81" t="s">
        <v>341</v>
      </c>
      <c r="F255" s="82" t="s">
        <v>93</v>
      </c>
      <c r="G255" s="83">
        <v>986.45100000000002</v>
      </c>
      <c r="H255" s="84">
        <v>56</v>
      </c>
      <c r="I255" s="85">
        <f>ROUND(H255*G255,2)</f>
        <v>55241.26</v>
      </c>
      <c r="L255" s="22">
        <f>SUM(Q14:Q308)-3.85168</f>
        <v>174.493009</v>
      </c>
      <c r="M255" s="22">
        <f>L255+G255</f>
        <v>1160.9440090000001</v>
      </c>
      <c r="N255" s="23">
        <f>ROUND(L255*H255,2)</f>
        <v>9771.61</v>
      </c>
      <c r="P255" s="64">
        <v>0</v>
      </c>
      <c r="Q255" s="64">
        <v>0</v>
      </c>
      <c r="R255" s="131" t="s">
        <v>423</v>
      </c>
    </row>
    <row r="256" spans="1:18" x14ac:dyDescent="0.25">
      <c r="B256" s="50"/>
      <c r="C256" s="51" t="s">
        <v>18</v>
      </c>
      <c r="D256" s="52"/>
      <c r="E256" s="52" t="s">
        <v>365</v>
      </c>
      <c r="F256" s="50"/>
      <c r="G256" s="50"/>
      <c r="H256" s="53"/>
      <c r="I256" s="54"/>
      <c r="J256" s="55"/>
      <c r="K256" s="55"/>
      <c r="L256" s="100"/>
      <c r="M256" s="100"/>
      <c r="N256" s="100">
        <f>SUM(N257:N308)</f>
        <v>327789.46999999997</v>
      </c>
    </row>
    <row r="257" spans="2:18" x14ac:dyDescent="0.25">
      <c r="B257" s="80" t="s">
        <v>151</v>
      </c>
      <c r="C257" s="80" t="s">
        <v>23</v>
      </c>
      <c r="D257" s="81">
        <v>564871111</v>
      </c>
      <c r="E257" s="81" t="s">
        <v>152</v>
      </c>
      <c r="F257" s="82" t="s">
        <v>25</v>
      </c>
      <c r="G257" s="83">
        <f>G258</f>
        <v>0</v>
      </c>
      <c r="H257" s="84">
        <v>235</v>
      </c>
      <c r="I257" s="85">
        <v>0</v>
      </c>
      <c r="L257" s="22">
        <f>L258</f>
        <v>27</v>
      </c>
      <c r="M257" s="22">
        <f>L257+G257</f>
        <v>27</v>
      </c>
      <c r="N257" s="23">
        <f>ROUND(L257*H257,2)</f>
        <v>6345</v>
      </c>
      <c r="P257" s="64">
        <v>0</v>
      </c>
      <c r="Q257" s="64">
        <f>P257*L257</f>
        <v>0</v>
      </c>
      <c r="R257" s="131" t="s">
        <v>424</v>
      </c>
    </row>
    <row r="258" spans="2:18" ht="22.5" x14ac:dyDescent="0.25">
      <c r="B258" s="65"/>
      <c r="C258" s="65"/>
      <c r="D258" s="74"/>
      <c r="E258" s="25" t="s">
        <v>373</v>
      </c>
      <c r="F258" s="56"/>
      <c r="G258" s="26"/>
      <c r="H258" s="75"/>
      <c r="I258" s="67"/>
      <c r="L258" s="26">
        <f>L262+L265</f>
        <v>27</v>
      </c>
      <c r="M258" s="66"/>
      <c r="N258" s="67"/>
    </row>
    <row r="259" spans="2:18" ht="36" x14ac:dyDescent="0.25">
      <c r="B259" s="80" t="s">
        <v>205</v>
      </c>
      <c r="C259" s="80" t="s">
        <v>23</v>
      </c>
      <c r="D259" s="81">
        <v>596212211</v>
      </c>
      <c r="E259" s="81" t="s">
        <v>206</v>
      </c>
      <c r="F259" s="82" t="s">
        <v>25</v>
      </c>
      <c r="G259" s="83">
        <f>G260</f>
        <v>0</v>
      </c>
      <c r="H259" s="84">
        <v>295</v>
      </c>
      <c r="I259" s="85">
        <v>0</v>
      </c>
      <c r="L259" s="22">
        <f>L260</f>
        <v>27</v>
      </c>
      <c r="M259" s="22">
        <f>L259+G259</f>
        <v>27</v>
      </c>
      <c r="N259" s="23">
        <f>ROUND(L259*H259,2)</f>
        <v>7965</v>
      </c>
      <c r="P259" s="64">
        <v>0.10362</v>
      </c>
      <c r="Q259" s="64">
        <f>P259*L259</f>
        <v>2.7977400000000001</v>
      </c>
    </row>
    <row r="260" spans="2:18" ht="22.5" x14ac:dyDescent="0.25">
      <c r="B260" s="65"/>
      <c r="C260" s="65"/>
      <c r="D260" s="74"/>
      <c r="E260" s="25" t="s">
        <v>373</v>
      </c>
      <c r="F260" s="56"/>
      <c r="G260" s="26"/>
      <c r="H260" s="75"/>
      <c r="I260" s="67"/>
      <c r="L260" s="26">
        <f>L262+L265</f>
        <v>27</v>
      </c>
      <c r="M260" s="66"/>
      <c r="N260" s="67"/>
    </row>
    <row r="261" spans="2:18" ht="28.5" x14ac:dyDescent="0.25">
      <c r="B261" s="80">
        <v>94</v>
      </c>
      <c r="C261" s="80" t="s">
        <v>102</v>
      </c>
      <c r="D261" s="92">
        <v>59245030</v>
      </c>
      <c r="E261" s="81" t="s">
        <v>407</v>
      </c>
      <c r="F261" s="82" t="s">
        <v>25</v>
      </c>
      <c r="G261" s="83">
        <f>G263</f>
        <v>0</v>
      </c>
      <c r="H261" s="84">
        <v>519</v>
      </c>
      <c r="I261" s="85">
        <v>0</v>
      </c>
      <c r="L261" s="22">
        <f>L263</f>
        <v>20.399999999999999</v>
      </c>
      <c r="M261" s="22">
        <f>L261+G261</f>
        <v>20.399999999999999</v>
      </c>
      <c r="N261" s="23">
        <f>ROUND(L261*H261,2)</f>
        <v>10587.6</v>
      </c>
      <c r="P261" s="64">
        <v>0.17599999999999999</v>
      </c>
      <c r="Q261" s="64">
        <f>P261*L261</f>
        <v>3.5903999999999994</v>
      </c>
    </row>
    <row r="262" spans="2:18" x14ac:dyDescent="0.25">
      <c r="B262" s="65"/>
      <c r="C262" s="65"/>
      <c r="D262" s="74"/>
      <c r="E262" s="25" t="s">
        <v>371</v>
      </c>
      <c r="F262" s="56"/>
      <c r="G262" s="26"/>
      <c r="H262" s="75"/>
      <c r="I262" s="67"/>
      <c r="L262" s="26">
        <v>20</v>
      </c>
      <c r="M262" s="66"/>
      <c r="N262" s="67"/>
    </row>
    <row r="263" spans="2:18" x14ac:dyDescent="0.25">
      <c r="E263" s="25" t="s">
        <v>366</v>
      </c>
      <c r="G263" s="26"/>
      <c r="L263" s="26">
        <f>L262*1.02</f>
        <v>20.399999999999999</v>
      </c>
      <c r="M263" s="66"/>
      <c r="N263" s="67"/>
    </row>
    <row r="264" spans="2:18" ht="28.5" x14ac:dyDescent="0.25">
      <c r="B264" s="80">
        <v>95</v>
      </c>
      <c r="C264" s="80" t="s">
        <v>102</v>
      </c>
      <c r="D264" s="92">
        <v>59245005</v>
      </c>
      <c r="E264" s="81" t="s">
        <v>408</v>
      </c>
      <c r="F264" s="82" t="s">
        <v>25</v>
      </c>
      <c r="G264" s="83">
        <f>G266</f>
        <v>0</v>
      </c>
      <c r="H264" s="84">
        <v>564</v>
      </c>
      <c r="I264" s="85">
        <v>0</v>
      </c>
      <c r="L264" s="22">
        <f>L266</f>
        <v>7.1400000000000006</v>
      </c>
      <c r="M264" s="22">
        <f>L264+G264</f>
        <v>7.1400000000000006</v>
      </c>
      <c r="N264" s="23">
        <f>ROUND(L264*H264,2)</f>
        <v>4026.96</v>
      </c>
      <c r="P264" s="64">
        <v>0.17599999999999999</v>
      </c>
      <c r="Q264" s="64">
        <f>P264*L264</f>
        <v>1.25664</v>
      </c>
    </row>
    <row r="265" spans="2:18" x14ac:dyDescent="0.25">
      <c r="B265" s="65"/>
      <c r="C265" s="65"/>
      <c r="D265" s="74"/>
      <c r="E265" s="25" t="s">
        <v>372</v>
      </c>
      <c r="F265" s="56"/>
      <c r="G265" s="26"/>
      <c r="H265" s="75"/>
      <c r="I265" s="67"/>
      <c r="L265" s="26">
        <v>7</v>
      </c>
      <c r="M265" s="66"/>
      <c r="N265" s="67"/>
    </row>
    <row r="266" spans="2:18" x14ac:dyDescent="0.25">
      <c r="B266" s="58"/>
      <c r="C266" s="58"/>
      <c r="D266" s="58"/>
      <c r="E266" s="138" t="s">
        <v>370</v>
      </c>
      <c r="F266" s="58"/>
      <c r="G266" s="61"/>
      <c r="H266" s="58"/>
      <c r="I266" s="58"/>
      <c r="J266" s="58"/>
      <c r="L266" s="61">
        <f>L265*1.02</f>
        <v>7.1400000000000006</v>
      </c>
      <c r="M266" s="114"/>
      <c r="N266" s="115"/>
    </row>
    <row r="267" spans="2:18" ht="24" x14ac:dyDescent="0.25">
      <c r="B267" s="101">
        <v>96</v>
      </c>
      <c r="C267" s="101" t="s">
        <v>23</v>
      </c>
      <c r="D267" s="102">
        <v>916331112</v>
      </c>
      <c r="E267" s="107" t="s">
        <v>374</v>
      </c>
      <c r="F267" s="103" t="s">
        <v>135</v>
      </c>
      <c r="G267" s="104">
        <v>0</v>
      </c>
      <c r="H267" s="105">
        <v>213</v>
      </c>
      <c r="I267" s="106">
        <v>0</v>
      </c>
      <c r="K267" s="116"/>
      <c r="L267" s="57">
        <f>L268</f>
        <v>14</v>
      </c>
      <c r="M267" s="57">
        <f>L267+G267</f>
        <v>14</v>
      </c>
      <c r="N267" s="23">
        <f>ROUND(L267*H267,2)</f>
        <v>2982</v>
      </c>
      <c r="P267" s="64">
        <v>0.10095</v>
      </c>
      <c r="Q267" s="64">
        <f>P267*L267</f>
        <v>1.4133</v>
      </c>
      <c r="R267" s="131" t="s">
        <v>425</v>
      </c>
    </row>
    <row r="268" spans="2:18" x14ac:dyDescent="0.25">
      <c r="E268" s="25" t="s">
        <v>375</v>
      </c>
      <c r="G268" s="26"/>
      <c r="L268" s="26">
        <v>14</v>
      </c>
      <c r="M268" s="66"/>
      <c r="N268" s="67"/>
    </row>
    <row r="269" spans="2:18" ht="24" x14ac:dyDescent="0.25">
      <c r="B269" s="80">
        <v>97</v>
      </c>
      <c r="C269" s="80" t="s">
        <v>102</v>
      </c>
      <c r="D269" s="92">
        <v>59217001</v>
      </c>
      <c r="E269" s="81" t="s">
        <v>406</v>
      </c>
      <c r="F269" s="82" t="s">
        <v>135</v>
      </c>
      <c r="G269" s="83">
        <v>0</v>
      </c>
      <c r="H269" s="84">
        <v>120</v>
      </c>
      <c r="I269" s="85">
        <v>0</v>
      </c>
      <c r="L269" s="22">
        <f>L270</f>
        <v>14</v>
      </c>
      <c r="M269" s="22">
        <f>L269+G269</f>
        <v>14</v>
      </c>
      <c r="N269" s="23">
        <f>ROUND(L269*H269,2)</f>
        <v>1680</v>
      </c>
      <c r="P269" s="64">
        <v>2.8000000000000001E-2</v>
      </c>
      <c r="Q269" s="64">
        <f>P269*L269</f>
        <v>0.39200000000000002</v>
      </c>
      <c r="R269" s="131" t="s">
        <v>422</v>
      </c>
    </row>
    <row r="270" spans="2:18" x14ac:dyDescent="0.25">
      <c r="B270" s="58"/>
      <c r="C270" s="58"/>
      <c r="D270" s="58"/>
      <c r="E270" s="138" t="s">
        <v>375</v>
      </c>
      <c r="F270" s="58"/>
      <c r="G270" s="58"/>
      <c r="H270" s="58"/>
      <c r="I270" s="58"/>
      <c r="J270" s="58"/>
      <c r="L270" s="61">
        <v>14</v>
      </c>
      <c r="M270" s="59"/>
      <c r="N270" s="60"/>
    </row>
    <row r="271" spans="2:18" ht="24" x14ac:dyDescent="0.25">
      <c r="B271" s="101">
        <v>98</v>
      </c>
      <c r="C271" s="101" t="s">
        <v>23</v>
      </c>
      <c r="D271" s="102">
        <v>966072820</v>
      </c>
      <c r="E271" s="107" t="s">
        <v>376</v>
      </c>
      <c r="F271" s="103" t="s">
        <v>135</v>
      </c>
      <c r="G271" s="104">
        <v>0</v>
      </c>
      <c r="H271" s="105">
        <v>77.099999999999994</v>
      </c>
      <c r="I271" s="106">
        <v>0</v>
      </c>
      <c r="L271" s="57">
        <v>22</v>
      </c>
      <c r="M271" s="57">
        <f>L271+G271</f>
        <v>22</v>
      </c>
      <c r="N271" s="23">
        <f t="shared" ref="N271:N273" si="10">ROUND(L271*H271,2)</f>
        <v>1696.2</v>
      </c>
      <c r="P271" s="64">
        <v>0</v>
      </c>
      <c r="Q271" s="64">
        <f t="shared" ref="Q271:Q273" si="11">P271*L271</f>
        <v>0</v>
      </c>
    </row>
    <row r="272" spans="2:18" x14ac:dyDescent="0.25">
      <c r="B272" s="80">
        <v>99</v>
      </c>
      <c r="C272" s="80" t="s">
        <v>23</v>
      </c>
      <c r="D272" s="92" t="s">
        <v>396</v>
      </c>
      <c r="E272" s="81" t="s">
        <v>405</v>
      </c>
      <c r="F272" s="82" t="s">
        <v>60</v>
      </c>
      <c r="G272" s="83">
        <v>0</v>
      </c>
      <c r="H272" s="84">
        <v>3900</v>
      </c>
      <c r="I272" s="85">
        <v>0</v>
      </c>
      <c r="L272" s="22">
        <v>15</v>
      </c>
      <c r="M272" s="22">
        <f>L272+G272</f>
        <v>15</v>
      </c>
      <c r="N272" s="23">
        <f t="shared" si="10"/>
        <v>58500</v>
      </c>
      <c r="P272" s="64">
        <v>0</v>
      </c>
      <c r="Q272" s="64">
        <f t="shared" si="11"/>
        <v>0</v>
      </c>
      <c r="R272" s="131" t="s">
        <v>426</v>
      </c>
    </row>
    <row r="273" spans="2:18" ht="24" x14ac:dyDescent="0.25">
      <c r="B273" s="80">
        <v>100</v>
      </c>
      <c r="C273" s="80" t="s">
        <v>23</v>
      </c>
      <c r="D273" s="92">
        <v>998001123</v>
      </c>
      <c r="E273" s="81" t="s">
        <v>400</v>
      </c>
      <c r="F273" s="82" t="s">
        <v>93</v>
      </c>
      <c r="G273" s="83">
        <v>0</v>
      </c>
      <c r="H273" s="84">
        <v>1180</v>
      </c>
      <c r="I273" s="85">
        <v>0</v>
      </c>
      <c r="L273" s="22">
        <f>L274</f>
        <v>37.5</v>
      </c>
      <c r="M273" s="22">
        <f>L273+G273</f>
        <v>37.5</v>
      </c>
      <c r="N273" s="23">
        <f t="shared" si="10"/>
        <v>44250</v>
      </c>
      <c r="P273" s="64">
        <v>0</v>
      </c>
      <c r="Q273" s="64">
        <f t="shared" si="11"/>
        <v>0</v>
      </c>
    </row>
    <row r="274" spans="2:18" x14ac:dyDescent="0.25">
      <c r="B274" s="65"/>
      <c r="C274" s="65"/>
      <c r="D274" s="74"/>
      <c r="E274" s="25" t="s">
        <v>404</v>
      </c>
      <c r="F274" s="56"/>
      <c r="G274" s="66"/>
      <c r="H274" s="75"/>
      <c r="I274" s="67"/>
      <c r="L274" s="26">
        <f>15*2.5</f>
        <v>37.5</v>
      </c>
      <c r="M274" s="26" t="s">
        <v>446</v>
      </c>
      <c r="N274" s="67"/>
      <c r="R274" s="131" t="s">
        <v>427</v>
      </c>
    </row>
    <row r="275" spans="2:18" ht="48" x14ac:dyDescent="0.25">
      <c r="B275" s="80">
        <v>101</v>
      </c>
      <c r="C275" s="80"/>
      <c r="D275" s="92">
        <v>131112502</v>
      </c>
      <c r="E275" s="139" t="s">
        <v>403</v>
      </c>
      <c r="F275" s="82" t="s">
        <v>60</v>
      </c>
      <c r="G275" s="83">
        <v>0</v>
      </c>
      <c r="H275" s="84">
        <v>736</v>
      </c>
      <c r="I275" s="85">
        <v>0</v>
      </c>
      <c r="L275" s="22">
        <v>1.75</v>
      </c>
      <c r="M275" s="22">
        <f>L275+G275</f>
        <v>1.75</v>
      </c>
      <c r="N275" s="23">
        <f t="shared" ref="N275:N277" si="12">ROUND(L275*H275,2)</f>
        <v>1288</v>
      </c>
      <c r="P275" s="64">
        <v>0</v>
      </c>
      <c r="Q275" s="64">
        <f t="shared" ref="Q275:Q277" si="13">P275*L275</f>
        <v>0</v>
      </c>
    </row>
    <row r="276" spans="2:18" x14ac:dyDescent="0.25">
      <c r="B276" s="80">
        <v>102</v>
      </c>
      <c r="C276" s="80"/>
      <c r="D276" s="92">
        <v>58932931</v>
      </c>
      <c r="E276" s="139" t="s">
        <v>412</v>
      </c>
      <c r="F276" s="82" t="s">
        <v>60</v>
      </c>
      <c r="G276" s="83">
        <v>0</v>
      </c>
      <c r="H276" s="84">
        <v>4110</v>
      </c>
      <c r="I276" s="85">
        <v>0</v>
      </c>
      <c r="L276" s="22">
        <v>2</v>
      </c>
      <c r="M276" s="22">
        <f>L276+G276</f>
        <v>2</v>
      </c>
      <c r="N276" s="23">
        <f t="shared" si="12"/>
        <v>8220</v>
      </c>
      <c r="P276" s="64">
        <v>2.4289999999999998</v>
      </c>
      <c r="Q276" s="64">
        <f t="shared" si="13"/>
        <v>4.8579999999999997</v>
      </c>
    </row>
    <row r="277" spans="2:18" ht="36" x14ac:dyDescent="0.25">
      <c r="B277" s="80">
        <v>103</v>
      </c>
      <c r="C277" s="80"/>
      <c r="D277" s="92">
        <v>338171123</v>
      </c>
      <c r="E277" s="81" t="s">
        <v>379</v>
      </c>
      <c r="F277" s="82" t="s">
        <v>380</v>
      </c>
      <c r="G277" s="83">
        <v>0</v>
      </c>
      <c r="H277" s="84">
        <v>423</v>
      </c>
      <c r="I277" s="85">
        <v>0</v>
      </c>
      <c r="L277" s="22">
        <f>L278+L279</f>
        <v>8</v>
      </c>
      <c r="M277" s="22">
        <f>L277+G277</f>
        <v>8</v>
      </c>
      <c r="N277" s="23">
        <f t="shared" si="12"/>
        <v>3384</v>
      </c>
      <c r="P277" s="64">
        <v>0.17488999999999999</v>
      </c>
      <c r="Q277" s="64">
        <f t="shared" si="13"/>
        <v>1.3991199999999999</v>
      </c>
    </row>
    <row r="278" spans="2:18" x14ac:dyDescent="0.25">
      <c r="B278" s="65"/>
      <c r="C278" s="65"/>
      <c r="D278" s="74"/>
      <c r="E278" s="25" t="s">
        <v>382</v>
      </c>
      <c r="F278" s="56"/>
      <c r="G278" s="66"/>
      <c r="H278" s="75"/>
      <c r="I278" s="67"/>
      <c r="L278" s="26">
        <v>6</v>
      </c>
      <c r="M278" s="66"/>
      <c r="N278" s="67"/>
    </row>
    <row r="279" spans="2:18" x14ac:dyDescent="0.25">
      <c r="B279" s="65"/>
      <c r="C279" s="65"/>
      <c r="D279" s="74"/>
      <c r="E279" s="25" t="s">
        <v>381</v>
      </c>
      <c r="F279" s="56"/>
      <c r="G279" s="66"/>
      <c r="H279" s="75"/>
      <c r="I279" s="67"/>
      <c r="L279" s="26">
        <v>2</v>
      </c>
      <c r="M279" s="66"/>
      <c r="N279" s="67"/>
    </row>
    <row r="280" spans="2:18" ht="24" x14ac:dyDescent="0.25">
      <c r="B280" s="80">
        <v>104</v>
      </c>
      <c r="C280" s="80"/>
      <c r="D280" s="92">
        <v>348401140</v>
      </c>
      <c r="E280" s="81" t="s">
        <v>377</v>
      </c>
      <c r="F280" s="82" t="s">
        <v>135</v>
      </c>
      <c r="G280" s="83">
        <v>0</v>
      </c>
      <c r="H280" s="84">
        <v>125</v>
      </c>
      <c r="I280" s="85">
        <v>0</v>
      </c>
      <c r="L280" s="22">
        <v>23</v>
      </c>
      <c r="M280" s="22">
        <f>L280+G280</f>
        <v>23</v>
      </c>
      <c r="N280" s="23">
        <f t="shared" ref="N280:N282" si="14">ROUND(L280*H280,2)</f>
        <v>2875</v>
      </c>
      <c r="P280" s="64">
        <v>0</v>
      </c>
      <c r="Q280" s="64">
        <f t="shared" ref="Q280:Q282" si="15">P280*L280</f>
        <v>0</v>
      </c>
    </row>
    <row r="281" spans="2:18" ht="24" x14ac:dyDescent="0.25">
      <c r="B281" s="80">
        <v>105</v>
      </c>
      <c r="C281" s="80"/>
      <c r="D281" s="92">
        <v>348401350</v>
      </c>
      <c r="E281" s="81" t="s">
        <v>378</v>
      </c>
      <c r="F281" s="82" t="s">
        <v>135</v>
      </c>
      <c r="G281" s="83">
        <v>0</v>
      </c>
      <c r="H281" s="84">
        <v>8.32</v>
      </c>
      <c r="I281" s="85">
        <v>0</v>
      </c>
      <c r="L281" s="22">
        <f>L280*3</f>
        <v>69</v>
      </c>
      <c r="M281" s="22">
        <f>L281+G281</f>
        <v>69</v>
      </c>
      <c r="N281" s="23">
        <f t="shared" si="14"/>
        <v>574.08000000000004</v>
      </c>
      <c r="P281" s="64">
        <v>0</v>
      </c>
      <c r="Q281" s="64">
        <f t="shared" si="15"/>
        <v>0</v>
      </c>
    </row>
    <row r="282" spans="2:18" ht="16.5" x14ac:dyDescent="0.25">
      <c r="B282" s="80">
        <v>106</v>
      </c>
      <c r="C282" s="80"/>
      <c r="D282" s="92">
        <v>55342243</v>
      </c>
      <c r="E282" s="81" t="s">
        <v>411</v>
      </c>
      <c r="F282" s="82" t="s">
        <v>380</v>
      </c>
      <c r="G282" s="83">
        <v>0</v>
      </c>
      <c r="H282" s="84">
        <v>216</v>
      </c>
      <c r="I282" s="85">
        <v>0</v>
      </c>
      <c r="L282" s="22">
        <f>L283</f>
        <v>8</v>
      </c>
      <c r="M282" s="22">
        <f>L282+G282</f>
        <v>8</v>
      </c>
      <c r="N282" s="23">
        <f t="shared" si="14"/>
        <v>1728</v>
      </c>
      <c r="P282" s="64">
        <v>4.4999999999999997E-3</v>
      </c>
      <c r="Q282" s="64">
        <f t="shared" si="15"/>
        <v>3.5999999999999997E-2</v>
      </c>
    </row>
    <row r="283" spans="2:18" x14ac:dyDescent="0.25">
      <c r="E283" s="25" t="s">
        <v>383</v>
      </c>
      <c r="L283" s="26">
        <f>6+2</f>
        <v>8</v>
      </c>
    </row>
    <row r="284" spans="2:18" ht="24" x14ac:dyDescent="0.25">
      <c r="B284" s="108">
        <v>107</v>
      </c>
      <c r="C284" s="108"/>
      <c r="D284" s="109">
        <v>31324775</v>
      </c>
      <c r="E284" s="140" t="s">
        <v>402</v>
      </c>
      <c r="F284" s="110" t="s">
        <v>135</v>
      </c>
      <c r="G284" s="111">
        <v>0</v>
      </c>
      <c r="H284" s="112">
        <v>120</v>
      </c>
      <c r="I284" s="113">
        <v>0</v>
      </c>
      <c r="J284" s="58"/>
      <c r="L284" s="62">
        <v>23</v>
      </c>
      <c r="M284" s="62">
        <f>L284+G284</f>
        <v>23</v>
      </c>
      <c r="N284" s="63">
        <f t="shared" ref="N284" si="16">ROUND(L284*H284,2)</f>
        <v>2760</v>
      </c>
      <c r="P284" s="64">
        <v>1.8E-3</v>
      </c>
      <c r="Q284" s="64">
        <f t="shared" ref="Q284" si="17">P284*L284</f>
        <v>4.1399999999999999E-2</v>
      </c>
    </row>
    <row r="285" spans="2:18" ht="36" x14ac:dyDescent="0.25">
      <c r="B285" s="101" t="s">
        <v>58</v>
      </c>
      <c r="C285" s="101" t="s">
        <v>23</v>
      </c>
      <c r="D285" s="107">
        <v>122251106</v>
      </c>
      <c r="E285" s="107" t="s">
        <v>59</v>
      </c>
      <c r="F285" s="103" t="s">
        <v>60</v>
      </c>
      <c r="G285" s="104">
        <v>0</v>
      </c>
      <c r="H285" s="105">
        <v>220</v>
      </c>
      <c r="I285" s="106">
        <v>0</v>
      </c>
      <c r="K285" s="116"/>
      <c r="L285" s="57">
        <f>L286</f>
        <v>15</v>
      </c>
      <c r="M285" s="57">
        <f>L285+G285</f>
        <v>15</v>
      </c>
      <c r="N285" s="23">
        <f>ROUND(L285*H285,2)</f>
        <v>3300</v>
      </c>
      <c r="P285" s="64">
        <v>0</v>
      </c>
      <c r="Q285" s="64">
        <f>P285*L285</f>
        <v>0</v>
      </c>
      <c r="R285" s="131" t="s">
        <v>422</v>
      </c>
    </row>
    <row r="286" spans="2:18" ht="22.5" x14ac:dyDescent="0.25">
      <c r="E286" s="25" t="s">
        <v>384</v>
      </c>
      <c r="L286" s="26">
        <f>50*0.3</f>
        <v>15</v>
      </c>
    </row>
    <row r="287" spans="2:18" x14ac:dyDescent="0.25">
      <c r="B287" s="80" t="s">
        <v>160</v>
      </c>
      <c r="C287" s="80" t="s">
        <v>23</v>
      </c>
      <c r="D287" s="81">
        <v>564871116</v>
      </c>
      <c r="E287" s="81" t="s">
        <v>161</v>
      </c>
      <c r="F287" s="82" t="s">
        <v>25</v>
      </c>
      <c r="G287" s="83">
        <v>0</v>
      </c>
      <c r="H287" s="84">
        <v>275</v>
      </c>
      <c r="I287" s="85">
        <v>0</v>
      </c>
      <c r="L287" s="22">
        <f>L288</f>
        <v>50</v>
      </c>
      <c r="M287" s="22">
        <f>L287+G287</f>
        <v>50</v>
      </c>
      <c r="N287" s="23">
        <f>ROUND(L287*H287,2)</f>
        <v>13750</v>
      </c>
      <c r="P287" s="64">
        <v>0</v>
      </c>
      <c r="Q287" s="64">
        <f>P287*L287</f>
        <v>0</v>
      </c>
    </row>
    <row r="288" spans="2:18" ht="22.5" x14ac:dyDescent="0.25">
      <c r="E288" s="25" t="s">
        <v>385</v>
      </c>
      <c r="L288" s="26">
        <v>50</v>
      </c>
    </row>
    <row r="289" spans="1:18" ht="36" x14ac:dyDescent="0.25">
      <c r="B289" s="80" t="s">
        <v>83</v>
      </c>
      <c r="C289" s="80" t="s">
        <v>23</v>
      </c>
      <c r="D289" s="81">
        <v>162751117</v>
      </c>
      <c r="E289" s="81" t="s">
        <v>84</v>
      </c>
      <c r="F289" s="82" t="s">
        <v>60</v>
      </c>
      <c r="G289" s="83">
        <v>0</v>
      </c>
      <c r="H289" s="84">
        <v>125</v>
      </c>
      <c r="I289" s="85">
        <v>0</v>
      </c>
      <c r="L289" s="22">
        <f>L290</f>
        <v>15</v>
      </c>
      <c r="M289" s="22">
        <f>L289+G289</f>
        <v>15</v>
      </c>
      <c r="N289" s="23">
        <f>ROUND(L289*H289,2)</f>
        <v>1875</v>
      </c>
      <c r="P289" s="64">
        <v>0</v>
      </c>
      <c r="Q289" s="64">
        <f>P289*L289</f>
        <v>0</v>
      </c>
    </row>
    <row r="290" spans="1:18" ht="22.5" x14ac:dyDescent="0.25">
      <c r="B290" s="65"/>
      <c r="C290" s="65"/>
      <c r="D290" s="74"/>
      <c r="E290" s="25" t="s">
        <v>385</v>
      </c>
      <c r="F290" s="56"/>
      <c r="G290" s="66"/>
      <c r="H290" s="75"/>
      <c r="I290" s="67"/>
      <c r="L290" s="26">
        <f>L285</f>
        <v>15</v>
      </c>
      <c r="M290" s="66"/>
      <c r="N290" s="67"/>
    </row>
    <row r="291" spans="1:18" ht="24" x14ac:dyDescent="0.25">
      <c r="B291" s="80" t="s">
        <v>91</v>
      </c>
      <c r="C291" s="80" t="s">
        <v>23</v>
      </c>
      <c r="D291" s="81">
        <v>171201221</v>
      </c>
      <c r="E291" s="81" t="s">
        <v>92</v>
      </c>
      <c r="F291" s="82" t="s">
        <v>93</v>
      </c>
      <c r="G291" s="83">
        <v>0</v>
      </c>
      <c r="H291" s="84">
        <v>140</v>
      </c>
      <c r="I291" s="85">
        <v>0</v>
      </c>
      <c r="L291" s="22">
        <f>L292</f>
        <v>27.75</v>
      </c>
      <c r="M291" s="22">
        <f>L291+G291</f>
        <v>27.75</v>
      </c>
      <c r="N291" s="23">
        <f>ROUND(L291*H291,2)</f>
        <v>3885</v>
      </c>
      <c r="P291" s="64">
        <v>0</v>
      </c>
      <c r="Q291" s="64">
        <f>P291*L291</f>
        <v>0</v>
      </c>
    </row>
    <row r="292" spans="1:18" ht="22.5" x14ac:dyDescent="0.25">
      <c r="B292" s="58"/>
      <c r="C292" s="58"/>
      <c r="D292" s="58"/>
      <c r="E292" s="138" t="s">
        <v>385</v>
      </c>
      <c r="F292" s="58"/>
      <c r="G292" s="58"/>
      <c r="H292" s="58"/>
      <c r="I292" s="58"/>
      <c r="J292" s="58"/>
      <c r="L292" s="61">
        <f>15*1.85</f>
        <v>27.75</v>
      </c>
      <c r="M292" s="61" t="s">
        <v>386</v>
      </c>
      <c r="N292" s="61"/>
    </row>
    <row r="293" spans="1:18" x14ac:dyDescent="0.25">
      <c r="B293" s="157">
        <v>109</v>
      </c>
      <c r="C293" s="157" t="s">
        <v>23</v>
      </c>
      <c r="D293" s="158" t="s">
        <v>396</v>
      </c>
      <c r="E293" s="159" t="s">
        <v>401</v>
      </c>
      <c r="F293" s="160" t="s">
        <v>60</v>
      </c>
      <c r="G293" s="161">
        <v>0</v>
      </c>
      <c r="H293" s="162">
        <v>3900</v>
      </c>
      <c r="I293" s="163">
        <v>0</v>
      </c>
      <c r="J293" s="154"/>
      <c r="K293" s="164"/>
      <c r="L293" s="165">
        <v>6</v>
      </c>
      <c r="M293" s="165">
        <f>L293+G293</f>
        <v>6</v>
      </c>
      <c r="N293" s="156">
        <f>ROUND(L293*H293,2)</f>
        <v>23400</v>
      </c>
      <c r="P293" s="64">
        <v>0</v>
      </c>
      <c r="Q293" s="64">
        <f>P293*L293</f>
        <v>0</v>
      </c>
      <c r="R293" s="147" t="s">
        <v>428</v>
      </c>
    </row>
    <row r="294" spans="1:18" x14ac:dyDescent="0.25">
      <c r="E294" s="25" t="s">
        <v>387</v>
      </c>
      <c r="F294" s="56"/>
      <c r="R294" s="131" t="s">
        <v>432</v>
      </c>
    </row>
    <row r="295" spans="1:18" ht="24" x14ac:dyDescent="0.25">
      <c r="B295" s="80">
        <v>110</v>
      </c>
      <c r="C295" s="80" t="s">
        <v>23</v>
      </c>
      <c r="D295" s="92">
        <v>998001123</v>
      </c>
      <c r="E295" s="81" t="s">
        <v>400</v>
      </c>
      <c r="F295" s="82" t="s">
        <v>93</v>
      </c>
      <c r="G295" s="83">
        <v>0</v>
      </c>
      <c r="H295" s="96">
        <v>1180</v>
      </c>
      <c r="I295" s="85">
        <v>0</v>
      </c>
      <c r="L295" s="155">
        <f>L296</f>
        <v>15</v>
      </c>
      <c r="M295" s="155">
        <f>L295+G295</f>
        <v>15</v>
      </c>
      <c r="N295" s="156">
        <f>ROUND(L295*H295,2)</f>
        <v>17700</v>
      </c>
      <c r="P295" s="64">
        <v>0</v>
      </c>
      <c r="Q295" s="64">
        <f>P295*L295</f>
        <v>0</v>
      </c>
    </row>
    <row r="296" spans="1:18" x14ac:dyDescent="0.25">
      <c r="B296" s="65"/>
      <c r="C296" s="65"/>
      <c r="D296" s="74"/>
      <c r="E296" s="25" t="s">
        <v>399</v>
      </c>
      <c r="F296" s="56"/>
      <c r="G296" s="66"/>
      <c r="H296" s="75"/>
      <c r="I296" s="67"/>
      <c r="L296" s="166">
        <f>6*2.5</f>
        <v>15</v>
      </c>
      <c r="M296" s="166" t="s">
        <v>448</v>
      </c>
      <c r="N296" s="167"/>
    </row>
    <row r="297" spans="1:18" ht="36" x14ac:dyDescent="0.25">
      <c r="B297" s="80">
        <v>111</v>
      </c>
      <c r="C297" s="80" t="s">
        <v>23</v>
      </c>
      <c r="D297" s="80">
        <v>997221862</v>
      </c>
      <c r="E297" s="92" t="s">
        <v>388</v>
      </c>
      <c r="F297" s="82" t="s">
        <v>93</v>
      </c>
      <c r="G297" s="83">
        <v>0</v>
      </c>
      <c r="H297" s="96">
        <v>275</v>
      </c>
      <c r="I297" s="85">
        <v>0</v>
      </c>
      <c r="L297" s="155">
        <f>L295</f>
        <v>15</v>
      </c>
      <c r="M297" s="155">
        <f>L297+G297</f>
        <v>15</v>
      </c>
      <c r="N297" s="156">
        <f>ROUND(L297*H297,2)</f>
        <v>4125</v>
      </c>
      <c r="P297" s="64">
        <v>0</v>
      </c>
      <c r="Q297" s="64">
        <f>P297*L297</f>
        <v>0</v>
      </c>
    </row>
    <row r="298" spans="1:18" x14ac:dyDescent="0.25">
      <c r="B298" s="58"/>
      <c r="C298" s="58"/>
      <c r="D298" s="58"/>
      <c r="E298" s="138" t="s">
        <v>399</v>
      </c>
      <c r="F298" s="58"/>
      <c r="G298" s="58"/>
      <c r="H298" s="58"/>
      <c r="I298" s="58"/>
      <c r="J298" s="58"/>
      <c r="L298" s="59"/>
      <c r="M298" s="59"/>
      <c r="N298" s="60"/>
    </row>
    <row r="299" spans="1:18" ht="24" x14ac:dyDescent="0.25">
      <c r="B299" s="101">
        <v>112</v>
      </c>
      <c r="C299" s="101" t="s">
        <v>23</v>
      </c>
      <c r="D299" s="101">
        <v>113151111</v>
      </c>
      <c r="E299" s="102" t="s">
        <v>391</v>
      </c>
      <c r="F299" s="103" t="s">
        <v>25</v>
      </c>
      <c r="G299" s="104">
        <v>0</v>
      </c>
      <c r="H299" s="146">
        <v>68.3</v>
      </c>
      <c r="I299" s="106">
        <v>0</v>
      </c>
      <c r="L299" s="57">
        <v>350</v>
      </c>
      <c r="M299" s="57">
        <f>L299+G299</f>
        <v>350</v>
      </c>
      <c r="N299" s="23">
        <f t="shared" ref="N299:N300" si="18">ROUND(L299*H299,2)</f>
        <v>23905</v>
      </c>
      <c r="P299" s="64">
        <v>0.35499999999999998</v>
      </c>
      <c r="Q299" s="64">
        <f t="shared" ref="Q299:Q300" si="19">P299*L299</f>
        <v>124.25</v>
      </c>
      <c r="R299" s="131" t="s">
        <v>429</v>
      </c>
    </row>
    <row r="300" spans="1:18" ht="24" x14ac:dyDescent="0.25">
      <c r="B300" s="80">
        <v>113</v>
      </c>
      <c r="C300" s="80" t="s">
        <v>23</v>
      </c>
      <c r="D300" s="80">
        <v>998226011</v>
      </c>
      <c r="E300" s="92" t="s">
        <v>389</v>
      </c>
      <c r="F300" s="82" t="s">
        <v>93</v>
      </c>
      <c r="G300" s="83">
        <v>0</v>
      </c>
      <c r="H300" s="84">
        <v>315</v>
      </c>
      <c r="I300" s="85">
        <v>0</v>
      </c>
      <c r="L300" s="22">
        <f>L301</f>
        <v>124.25</v>
      </c>
      <c r="M300" s="22">
        <f>L300+G300</f>
        <v>124.25</v>
      </c>
      <c r="N300" s="23">
        <f t="shared" si="18"/>
        <v>39138.75</v>
      </c>
      <c r="P300" s="64">
        <v>0</v>
      </c>
      <c r="Q300" s="64">
        <f t="shared" si="19"/>
        <v>0</v>
      </c>
    </row>
    <row r="301" spans="1:18" x14ac:dyDescent="0.25">
      <c r="B301" s="65"/>
      <c r="C301" s="65"/>
      <c r="D301" s="65"/>
      <c r="E301" s="25" t="s">
        <v>397</v>
      </c>
      <c r="F301" s="56"/>
      <c r="G301" s="66"/>
      <c r="H301" s="78"/>
      <c r="I301" s="79"/>
      <c r="L301" s="26">
        <f>350*0.355</f>
        <v>124.25</v>
      </c>
      <c r="M301" s="26" t="s">
        <v>392</v>
      </c>
      <c r="N301" s="26"/>
    </row>
    <row r="302" spans="1:18" ht="36" x14ac:dyDescent="0.25">
      <c r="B302" s="80">
        <v>114</v>
      </c>
      <c r="C302" s="80" t="s">
        <v>23</v>
      </c>
      <c r="D302" s="80">
        <v>998226091</v>
      </c>
      <c r="E302" s="92" t="s">
        <v>390</v>
      </c>
      <c r="F302" s="82" t="s">
        <v>93</v>
      </c>
      <c r="G302" s="83">
        <v>0</v>
      </c>
      <c r="H302" s="84">
        <v>11.5</v>
      </c>
      <c r="I302" s="85">
        <v>0</v>
      </c>
      <c r="L302" s="22">
        <f>L303</f>
        <v>124.25</v>
      </c>
      <c r="M302" s="22">
        <f>L302+G302</f>
        <v>124.25</v>
      </c>
      <c r="N302" s="23">
        <f>ROUND(L302*H302,2)</f>
        <v>1428.88</v>
      </c>
      <c r="P302" s="64">
        <v>0</v>
      </c>
      <c r="Q302" s="64">
        <f>P302*L302</f>
        <v>0</v>
      </c>
    </row>
    <row r="303" spans="1:18" x14ac:dyDescent="0.25">
      <c r="B303" s="65"/>
      <c r="C303" s="65"/>
      <c r="D303" s="65"/>
      <c r="E303" s="25" t="s">
        <v>397</v>
      </c>
      <c r="F303" s="56"/>
      <c r="G303" s="66"/>
      <c r="H303" s="75"/>
      <c r="I303" s="67"/>
      <c r="L303" s="26">
        <f>350*0.355</f>
        <v>124.25</v>
      </c>
      <c r="M303" s="26" t="s">
        <v>392</v>
      </c>
      <c r="N303" s="26"/>
    </row>
    <row r="304" spans="1:18" x14ac:dyDescent="0.25">
      <c r="A304" s="68"/>
      <c r="B304" s="80">
        <v>115</v>
      </c>
      <c r="C304" s="80" t="s">
        <v>23</v>
      </c>
      <c r="D304" s="92" t="s">
        <v>394</v>
      </c>
      <c r="E304" s="81" t="s">
        <v>395</v>
      </c>
      <c r="F304" s="95" t="s">
        <v>393</v>
      </c>
      <c r="G304" s="96">
        <v>0</v>
      </c>
      <c r="H304" s="84">
        <v>1500</v>
      </c>
      <c r="I304" s="85">
        <v>0</v>
      </c>
      <c r="K304" s="57"/>
      <c r="L304" s="22">
        <v>12</v>
      </c>
      <c r="M304" s="22">
        <f>L304+G304</f>
        <v>12</v>
      </c>
      <c r="N304" s="23">
        <f t="shared" ref="N304:N305" si="20">ROUND(L304*H304,2)</f>
        <v>18000</v>
      </c>
      <c r="P304" s="64">
        <v>0</v>
      </c>
      <c r="Q304" s="64">
        <f t="shared" ref="Q304:Q305" si="21">P304*L304</f>
        <v>0</v>
      </c>
    </row>
    <row r="305" spans="2:18" ht="36" x14ac:dyDescent="0.25">
      <c r="B305" s="80">
        <v>116</v>
      </c>
      <c r="C305" s="80" t="s">
        <v>23</v>
      </c>
      <c r="D305" s="80">
        <v>997221862</v>
      </c>
      <c r="E305" s="92" t="s">
        <v>388</v>
      </c>
      <c r="F305" s="82" t="s">
        <v>93</v>
      </c>
      <c r="G305" s="83">
        <v>0</v>
      </c>
      <c r="H305" s="84">
        <v>275</v>
      </c>
      <c r="I305" s="85">
        <v>0</v>
      </c>
      <c r="J305" s="76"/>
      <c r="L305" s="22">
        <v>44</v>
      </c>
      <c r="M305" s="22">
        <f>L305+G305</f>
        <v>44</v>
      </c>
      <c r="N305" s="23">
        <f t="shared" si="20"/>
        <v>12100</v>
      </c>
      <c r="P305" s="64">
        <v>0</v>
      </c>
      <c r="Q305" s="64">
        <f t="shared" si="21"/>
        <v>0</v>
      </c>
    </row>
    <row r="306" spans="2:18" x14ac:dyDescent="0.25">
      <c r="B306" s="58"/>
      <c r="C306" s="58"/>
      <c r="D306" s="58"/>
      <c r="E306" s="138" t="s">
        <v>398</v>
      </c>
      <c r="F306" s="58"/>
      <c r="G306" s="58"/>
      <c r="H306" s="58"/>
      <c r="I306" s="58"/>
      <c r="J306" s="58"/>
      <c r="L306" s="59"/>
      <c r="M306" s="61"/>
      <c r="N306" s="61"/>
    </row>
    <row r="307" spans="2:18" ht="24" x14ac:dyDescent="0.25">
      <c r="B307" s="101">
        <v>117</v>
      </c>
      <c r="C307" s="101" t="s">
        <v>102</v>
      </c>
      <c r="D307" s="101">
        <v>59227003</v>
      </c>
      <c r="E307" s="102" t="s">
        <v>413</v>
      </c>
      <c r="F307" s="103" t="s">
        <v>135</v>
      </c>
      <c r="G307" s="104">
        <v>0</v>
      </c>
      <c r="H307" s="105">
        <v>412</v>
      </c>
      <c r="I307" s="106">
        <v>0</v>
      </c>
      <c r="J307" s="77"/>
      <c r="L307" s="57">
        <v>10</v>
      </c>
      <c r="M307" s="57">
        <f>L307+G307</f>
        <v>10</v>
      </c>
      <c r="N307" s="23">
        <f t="shared" ref="N307:N308" si="22">ROUND(L307*H307,2)</f>
        <v>4120</v>
      </c>
      <c r="P307" s="64">
        <v>0.11394</v>
      </c>
      <c r="Q307" s="64">
        <f t="shared" ref="Q307:Q308" si="23">P307*L307</f>
        <v>1.1394</v>
      </c>
      <c r="R307" s="131" t="s">
        <v>430</v>
      </c>
    </row>
    <row r="308" spans="2:18" ht="24" x14ac:dyDescent="0.25">
      <c r="B308" s="80" t="s">
        <v>301</v>
      </c>
      <c r="C308" s="80" t="s">
        <v>23</v>
      </c>
      <c r="D308" s="81">
        <v>935111211</v>
      </c>
      <c r="E308" s="81" t="s">
        <v>302</v>
      </c>
      <c r="F308" s="82" t="s">
        <v>135</v>
      </c>
      <c r="G308" s="83">
        <v>0</v>
      </c>
      <c r="H308" s="84">
        <v>220</v>
      </c>
      <c r="I308" s="85">
        <v>0</v>
      </c>
      <c r="L308" s="22">
        <v>10</v>
      </c>
      <c r="M308" s="22">
        <f>L308+G308</f>
        <v>10</v>
      </c>
      <c r="N308" s="23">
        <f t="shared" si="22"/>
        <v>2200</v>
      </c>
      <c r="P308" s="64">
        <v>0.14760999999999999</v>
      </c>
      <c r="Q308" s="64">
        <f t="shared" si="23"/>
        <v>1.4761</v>
      </c>
    </row>
    <row r="310" spans="2:18" x14ac:dyDescent="0.25">
      <c r="R310" s="131" t="s">
        <v>431</v>
      </c>
    </row>
  </sheetData>
  <autoFilter ref="A1:Q308" xr:uid="{0F25DAB6-F440-49C0-AC41-FD855E96686B}"/>
  <mergeCells count="3">
    <mergeCell ref="C3:F3"/>
    <mergeCell ref="L8:N8"/>
    <mergeCell ref="C2:I2"/>
  </mergeCells>
  <pageMargins left="0.25" right="0.25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 Recyklostav</dc:creator>
  <cp:lastModifiedBy>Chobotský Jan</cp:lastModifiedBy>
  <cp:lastPrinted>2024-11-25T11:04:44Z</cp:lastPrinted>
  <dcterms:created xsi:type="dcterms:W3CDTF">2024-11-18T07:02:24Z</dcterms:created>
  <dcterms:modified xsi:type="dcterms:W3CDTF">2024-12-05T07:43:54Z</dcterms:modified>
</cp:coreProperties>
</file>